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codeName="ThisWorkbook" defaultThemeVersion="124226"/>
  <mc:AlternateContent xmlns:mc="http://schemas.openxmlformats.org/markup-compatibility/2006">
    <mc:Choice Requires="x15">
      <x15ac:absPath xmlns:x15ac="http://schemas.microsoft.com/office/spreadsheetml/2010/11/ac" url="U:\"/>
    </mc:Choice>
  </mc:AlternateContent>
  <xr:revisionPtr revIDLastSave="0" documentId="8_{1E1E274B-80F5-47F9-86BA-569CA072899F}" xr6:coauthVersionLast="47" xr6:coauthVersionMax="47" xr10:uidLastSave="{00000000-0000-0000-0000-000000000000}"/>
  <bookViews>
    <workbookView xWindow="-120" yWindow="-120" windowWidth="29040" windowHeight="15840" tabRatio="830" firstSheet="1" activeTab="15" xr2:uid="{00000000-000D-0000-FFFF-FFFF00000000}"/>
  </bookViews>
  <sheets>
    <sheet name="SLR Form" sheetId="35" state="hidden" r:id="rId1"/>
    <sheet name="SLR Analysis" sheetId="37" r:id="rId2"/>
    <sheet name="Setup" sheetId="1" r:id="rId3"/>
    <sheet name="DevCosts" sheetId="2" r:id="rId4"/>
    <sheet name="Units&amp;Income" sheetId="3" r:id="rId5"/>
    <sheet name="Op_Costs" sheetId="8" r:id="rId6"/>
    <sheet name="Sources" sheetId="7" r:id="rId7"/>
    <sheet name="ARC" sheetId="6" state="veryHidden" r:id="rId8"/>
    <sheet name="OpProforma" sheetId="11" r:id="rId9"/>
    <sheet name="Lease_Up" sheetId="10" r:id="rId10"/>
    <sheet name="DOH_Eligible" sheetId="5" r:id="rId11"/>
    <sheet name="Refi" sheetId="30" state="hidden" r:id="rId12"/>
    <sheet name="LIHTCs&amp;BLDGs" sheetId="12" r:id="rId13"/>
    <sheet name="Deal_Overview" sheetId="9" r:id="rId14"/>
    <sheet name="Exhibits" sheetId="39" r:id="rId15"/>
    <sheet name="HOME_Proration" sheetId="42" r:id="rId16"/>
    <sheet name="HOME_Standard" sheetId="41" r:id="rId17"/>
    <sheet name="Max_Limits" sheetId="13" r:id="rId18"/>
    <sheet name="Lists" sheetId="4" state="hidden" r:id="rId19"/>
    <sheet name="TIF Lists" sheetId="38" state="hidden" r:id="rId20"/>
  </sheets>
  <externalReferences>
    <externalReference r:id="rId21"/>
    <externalReference r:id="rId22"/>
  </externalReferences>
  <definedNames>
    <definedName name="AcqReasons" localSheetId="1">[1]Lists!$M$2:$M$6</definedName>
    <definedName name="AcqReasons" localSheetId="0">[1]Lists!$M$2:$M$6</definedName>
    <definedName name="AcqReasons">Lists!$M$2:$M$6</definedName>
    <definedName name="Address">'[2]Selection of Method'!$D$5</definedName>
    <definedName name="AMILevels" localSheetId="1">[1]Deal_Overview!$N$10:$N$15</definedName>
    <definedName name="AMILevels" localSheetId="0">[1]Deal_Overview!$N$10:$N$15</definedName>
    <definedName name="AMILevels">Deal_Overview!$N$10:$N$15</definedName>
    <definedName name="BldgType" localSheetId="1">[1]Lists!$G$6:$G$7</definedName>
    <definedName name="BldgType" localSheetId="0">[1]Lists!$G$6:$G$7</definedName>
    <definedName name="BldgType">Lists!$G$6:$G$7</definedName>
    <definedName name="BuildingTypes" localSheetId="1">[1]Lists!$J$2:$J$8</definedName>
    <definedName name="BuildingTypes" localSheetId="0">[1]Lists!$J$2:$J$8</definedName>
    <definedName name="BuildingTypes">Lists!$J$2:$J$8</definedName>
    <definedName name="CommAreas" localSheetId="1">[1]Lists!$G$12:$G$88</definedName>
    <definedName name="CommAreas" localSheetId="0">[1]Lists!$G$12:$G$88</definedName>
    <definedName name="CommAreas">Lists!$G$12:$G$88</definedName>
    <definedName name="devfee" localSheetId="1">[1]Lists!$S$21:$S$22</definedName>
    <definedName name="devfee" localSheetId="0">[1]Lists!$S$21:$S$22</definedName>
    <definedName name="devfee">Lists!$S$21:$S$22</definedName>
    <definedName name="DonationType" localSheetId="1">[1]Lists!$P$83:$P$86</definedName>
    <definedName name="DonationType" localSheetId="0">[1]Lists!$P$83:$P$86</definedName>
    <definedName name="DonationType">Lists!$P$83:$P$86</definedName>
    <definedName name="FHLB" localSheetId="1">[1]Lists!$V$35:$V$45</definedName>
    <definedName name="FHLB" localSheetId="0">[1]Lists!$V$35:$V$45</definedName>
    <definedName name="FHLB">Lists!$V$35:$V$45</definedName>
    <definedName name="GoodBad" localSheetId="1">[1]Lists!$P$20:$P$22</definedName>
    <definedName name="GoodBad" localSheetId="0">[1]Lists!$P$20:$P$22</definedName>
    <definedName name="GoodBad">Lists!$P$20:$P$22</definedName>
    <definedName name="GovtLenders" localSheetId="1">[1]Lists!$M$39:$M$42</definedName>
    <definedName name="GovtLenders" localSheetId="0">[1]Lists!$M$39:$M$42</definedName>
    <definedName name="GovtLenders">Lists!$M$39:$M$42</definedName>
    <definedName name="HistoricCreditReasons" localSheetId="1">[1]Lists!$S$2:$S$5</definedName>
    <definedName name="HistoricCreditReasons" localSheetId="0">[1]Lists!$S$2:$S$5</definedName>
    <definedName name="HistoricCreditReasons">Lists!$S$2:$S$5</definedName>
    <definedName name="Issuers" localSheetId="1">[1]Lists!$A$6:$A$8</definedName>
    <definedName name="Issuers" localSheetId="0">[1]Lists!$A$6:$A$8</definedName>
    <definedName name="Issuers">Lists!$A$6:$A$8</definedName>
    <definedName name="Lenders">Lists!$A$86:$A$142</definedName>
    <definedName name="lien" localSheetId="1">[1]Lists!$I$66:$I$81</definedName>
    <definedName name="lien" localSheetId="0">[1]Lists!$I$66:$I$81</definedName>
    <definedName name="lien">Lists!$I$66:$I$81</definedName>
    <definedName name="List22" localSheetId="1">[1]Lists!$D$13:$D$16</definedName>
    <definedName name="List22" localSheetId="0">[1]Lists!$D$13:$D$16</definedName>
    <definedName name="List22">Lists!$D$13:$D$16</definedName>
    <definedName name="Loans" localSheetId="1">[1]Sources!$B$3:$B$7</definedName>
    <definedName name="Loans" localSheetId="0">[1]Sources!$B$3:$B$7</definedName>
    <definedName name="Loans">Sources!$B$3:$B$7</definedName>
    <definedName name="Months" localSheetId="1">[1]Lists!$I$12:$I$23</definedName>
    <definedName name="Months" localSheetId="0">[1]Lists!$I$12:$I$23</definedName>
    <definedName name="Months">Lists!$I$12:$I$23</definedName>
    <definedName name="Name">'[2]Selection of Method'!$D$4</definedName>
    <definedName name="OpAmounts" localSheetId="1">[1]Lists!$N$12:$N$14</definedName>
    <definedName name="OpAmounts" localSheetId="0">[1]Lists!$N$12:$N$14</definedName>
    <definedName name="OpAmounts">Lists!$N$12:$N$14</definedName>
    <definedName name="OtherIncome" localSheetId="1">[1]Lists!$M$65:$M$76</definedName>
    <definedName name="OtherIncome" localSheetId="0">[1]Lists!$M$65:$M$76</definedName>
    <definedName name="OtherIncome">Lists!$M$65:$M$76</definedName>
    <definedName name="Periods" localSheetId="1">[1]Lists!$M$12:$M$15</definedName>
    <definedName name="Periods" localSheetId="0">[1]Lists!$M$12:$M$15</definedName>
    <definedName name="Periods">Lists!$M$12:$M$15</definedName>
    <definedName name="_xlnm.Print_Area" localSheetId="13">Deal_Overview!$A$1:$V$55</definedName>
    <definedName name="_xlnm.Print_Area" localSheetId="3">DevCosts!$B$1:$H$133</definedName>
    <definedName name="_xlnm.Print_Area" localSheetId="10">DOH_Eligible!$A$1:$G$140</definedName>
    <definedName name="_xlnm.Print_Area" localSheetId="15">HOME_Proration!$A$2:$J$54</definedName>
    <definedName name="_xlnm.Print_Area" localSheetId="16">HOME_Standard!$A$2:$H$62</definedName>
    <definedName name="_xlnm.Print_Area" localSheetId="18">Lists!$X$1:$Z$51</definedName>
    <definedName name="_xlnm.Print_Area" localSheetId="8">OpProforma!$A$1:$Z$95</definedName>
    <definedName name="_xlnm.Print_Area" localSheetId="11">Refi!$A$1:$L$54</definedName>
    <definedName name="_xlnm.Print_Area" localSheetId="1">'SLR Analysis'!$A$1:$J$58</definedName>
    <definedName name="_xlnm.Print_Area" localSheetId="0">'SLR Form'!$A$1:$F$91,'SLR Form'!$G$1:$M$34</definedName>
    <definedName name="_xlnm.Print_Area" localSheetId="6">Sources!$A$1:$L$113</definedName>
    <definedName name="_xlnm.Print_Titles" localSheetId="10">DOH_Eligible!$1:$3</definedName>
    <definedName name="_xlnm.Print_Titles" localSheetId="8">OpProforma!$A:$A</definedName>
    <definedName name="PrivateLoans">Lists!$V$65:$V$67</definedName>
    <definedName name="RateLock" localSheetId="1">[1]Lists!$B$1:$B$3</definedName>
    <definedName name="RateLock" localSheetId="0">[1]Lists!$B$1:$B$3</definedName>
    <definedName name="RateLock">Lists!$B$1:$B$3</definedName>
    <definedName name="RehabTypes" localSheetId="1">[1]Lists!$P$2:$P$5</definedName>
    <definedName name="RehabTypes" localSheetId="0">[1]Lists!$P$2:$P$5</definedName>
    <definedName name="RehabTypes">Lists!$P$2:$P$5</definedName>
    <definedName name="ReviewDate">'[2]Selection of Method'!$D$6</definedName>
    <definedName name="Stored1" localSheetId="1">[1]Lists!$D$5:$D$9</definedName>
    <definedName name="Stored1" localSheetId="0">[1]Lists!$D$5:$D$9</definedName>
    <definedName name="Stored1">Lists!$D$5:$D$9</definedName>
    <definedName name="TaxExemptBonds">Lists!$Y$65:$Y$68</definedName>
    <definedName name="TotSqFt">'[2]Selection of Method'!$F$23</definedName>
    <definedName name="Type" localSheetId="1">[1]Lists!$M$49:$M$51</definedName>
    <definedName name="Type" localSheetId="0">[1]Lists!$M$49:$M$51</definedName>
    <definedName name="Type">Lists!$M$49:$M$51</definedName>
    <definedName name="TypeofProject" localSheetId="1">[1]Lists!$P$12:$P$14</definedName>
    <definedName name="TypeofProject" localSheetId="0">[1]Lists!$P$12:$P$14</definedName>
    <definedName name="TypeofProject">Lists!$P$12:$P$14</definedName>
    <definedName name="UnitNumber" localSheetId="1">[1]Lists!$M$65:$M$78</definedName>
    <definedName name="UnitNumber" localSheetId="0">[1]Lists!$M$65:$M$78</definedName>
    <definedName name="UnitNumber">Lists!$M$65:$M$78</definedName>
    <definedName name="Version" localSheetId="1">[1]Lists!$P$65:$P$75</definedName>
    <definedName name="Version" localSheetId="0">[1]Lists!$P$65:$P$75</definedName>
    <definedName name="Version">Lists!$P$65:$P$75</definedName>
    <definedName name="Wards" localSheetId="1">[1]Lists!$Y$2:$Y$51</definedName>
    <definedName name="Wards" localSheetId="0">[1]Lists!$Y$2:$Y$51</definedName>
    <definedName name="Wards">Lists!$Y$2:$Y$51</definedName>
    <definedName name="Year2" localSheetId="1">[1]Max_Limits!$A$8:$A$15</definedName>
    <definedName name="Year2" localSheetId="0">[1]Max_Limits!$A$8:$A$15</definedName>
    <definedName name="Year2">Max_Limits!$A$8:$A$15</definedName>
    <definedName name="Years" localSheetId="1">[1]Lists!$J$12:$J$42</definedName>
    <definedName name="Years" localSheetId="0">[1]Lists!$J$12:$J$42</definedName>
    <definedName name="Years">Lists!$J$12:$J$42</definedName>
    <definedName name="YesNo" localSheetId="1">[1]Lists!$G$1:$G$2</definedName>
    <definedName name="YesNo" localSheetId="0">[1]Lists!$G$1:$G$2</definedName>
    <definedName name="YesNo">Lists!$G$1:$G$2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5" i="9" l="1"/>
  <c r="Q14" i="9"/>
  <c r="Q13" i="9"/>
  <c r="Q12" i="9"/>
  <c r="Q11" i="9"/>
  <c r="Q10" i="9"/>
  <c r="C5" i="42"/>
  <c r="C4" i="42"/>
  <c r="B31" i="42"/>
  <c r="B30" i="42"/>
  <c r="G31" i="42"/>
  <c r="G30" i="42"/>
  <c r="G29" i="42"/>
  <c r="G28" i="42"/>
  <c r="G27" i="42"/>
  <c r="J9" i="42"/>
  <c r="K9" i="42" s="1"/>
  <c r="G64" i="42"/>
  <c r="J51" i="42"/>
  <c r="D47" i="42"/>
  <c r="F46" i="42"/>
  <c r="D46" i="42"/>
  <c r="F45" i="42"/>
  <c r="D45" i="42"/>
  <c r="F44" i="42"/>
  <c r="D44" i="42"/>
  <c r="F43" i="42"/>
  <c r="D43" i="42"/>
  <c r="J38" i="42"/>
  <c r="G36" i="42"/>
  <c r="D36" i="42"/>
  <c r="F72" i="42" s="1"/>
  <c r="C36" i="42"/>
  <c r="B36" i="42"/>
  <c r="G35" i="42"/>
  <c r="D35" i="42"/>
  <c r="G71" i="42" s="1"/>
  <c r="C35" i="42"/>
  <c r="B35" i="42"/>
  <c r="G34" i="42"/>
  <c r="D34" i="42"/>
  <c r="H70" i="42" s="1"/>
  <c r="C34" i="42"/>
  <c r="B34" i="42"/>
  <c r="G33" i="42"/>
  <c r="D33" i="42"/>
  <c r="I69" i="42" s="1"/>
  <c r="C33" i="42"/>
  <c r="B33" i="42"/>
  <c r="G32" i="42"/>
  <c r="D32" i="42"/>
  <c r="F68" i="42" s="1"/>
  <c r="C32" i="42"/>
  <c r="B32" i="42"/>
  <c r="G67" i="42"/>
  <c r="I65" i="42"/>
  <c r="G63" i="42"/>
  <c r="K18" i="42"/>
  <c r="C6" i="42"/>
  <c r="F65" i="42" l="1"/>
  <c r="I66" i="42"/>
  <c r="F69" i="42"/>
  <c r="I63" i="42"/>
  <c r="H64" i="42"/>
  <c r="F66" i="42"/>
  <c r="H68" i="42"/>
  <c r="G69" i="42"/>
  <c r="F70" i="42"/>
  <c r="I71" i="42"/>
  <c r="H72" i="42"/>
  <c r="H67" i="42"/>
  <c r="G68" i="42"/>
  <c r="I70" i="42"/>
  <c r="H71" i="42"/>
  <c r="G72" i="42"/>
  <c r="F63" i="42"/>
  <c r="E64" i="42"/>
  <c r="I64" i="42"/>
  <c r="G66" i="42"/>
  <c r="F67" i="42"/>
  <c r="I68" i="42"/>
  <c r="H69" i="42"/>
  <c r="G70" i="42"/>
  <c r="F71" i="42"/>
  <c r="I72" i="42"/>
  <c r="H63" i="42"/>
  <c r="E65" i="42"/>
  <c r="F28" i="41" l="1"/>
  <c r="F27" i="41"/>
  <c r="F26" i="41"/>
  <c r="F25" i="41"/>
  <c r="F24" i="41"/>
  <c r="B28" i="41"/>
  <c r="B27" i="41"/>
  <c r="H8" i="41"/>
  <c r="I8" i="41" s="1"/>
  <c r="C4" i="41"/>
  <c r="C3" i="41"/>
  <c r="H59" i="41"/>
  <c r="D55" i="41"/>
  <c r="B55" i="41"/>
  <c r="F55" i="41" s="1"/>
  <c r="D54" i="41"/>
  <c r="B54" i="41"/>
  <c r="F54" i="41" s="1"/>
  <c r="D53" i="41"/>
  <c r="B53" i="41"/>
  <c r="F53" i="41" s="1"/>
  <c r="D52" i="41"/>
  <c r="B52" i="41"/>
  <c r="F52" i="41" s="1"/>
  <c r="D51" i="41"/>
  <c r="B51" i="41"/>
  <c r="F51" i="41" s="1"/>
  <c r="H46" i="41"/>
  <c r="I18" i="41"/>
  <c r="C5" i="41"/>
  <c r="H56" i="41" l="1"/>
  <c r="H61" i="41" s="1"/>
  <c r="D110" i="2" l="1"/>
  <c r="D105" i="2"/>
  <c r="D100" i="2"/>
  <c r="V13" i="39" s="1"/>
  <c r="D86" i="2"/>
  <c r="D42" i="2"/>
  <c r="D13" i="2"/>
  <c r="J41" i="39" s="1"/>
  <c r="AB12" i="39"/>
  <c r="D50" i="2"/>
  <c r="D62" i="2"/>
  <c r="D25" i="2"/>
  <c r="D26" i="2"/>
  <c r="D52" i="39"/>
  <c r="F6" i="39"/>
  <c r="F7" i="39"/>
  <c r="F8" i="39"/>
  <c r="F9" i="39"/>
  <c r="F10" i="39"/>
  <c r="F11" i="39"/>
  <c r="F13" i="39"/>
  <c r="F14" i="39"/>
  <c r="F15" i="39"/>
  <c r="F16" i="39"/>
  <c r="F17" i="39"/>
  <c r="F18" i="39"/>
  <c r="F19" i="39"/>
  <c r="F20" i="39"/>
  <c r="F21" i="39"/>
  <c r="F22" i="39"/>
  <c r="F23" i="39"/>
  <c r="B6" i="39"/>
  <c r="B7" i="39"/>
  <c r="B8" i="39"/>
  <c r="B9" i="39"/>
  <c r="B10" i="39"/>
  <c r="B11" i="39"/>
  <c r="B12" i="39"/>
  <c r="B13" i="39"/>
  <c r="B14" i="39"/>
  <c r="B15" i="39"/>
  <c r="B16" i="39"/>
  <c r="B17" i="39"/>
  <c r="B18" i="39"/>
  <c r="B19" i="39"/>
  <c r="B20" i="39"/>
  <c r="B21" i="39"/>
  <c r="B22" i="39"/>
  <c r="B23" i="39"/>
  <c r="B24" i="39"/>
  <c r="B5" i="39"/>
  <c r="C136" i="5" l="1"/>
  <c r="J14" i="8"/>
  <c r="P58" i="2"/>
  <c r="D60" i="2"/>
  <c r="J15" i="39" s="1"/>
  <c r="L15" i="39" s="1"/>
  <c r="D61" i="2"/>
  <c r="D63" i="2"/>
  <c r="D64" i="2"/>
  <c r="D65" i="2"/>
  <c r="D66" i="2"/>
  <c r="D67" i="2"/>
  <c r="D68" i="2"/>
  <c r="D69" i="2"/>
  <c r="D70" i="2"/>
  <c r="D71" i="2"/>
  <c r="D72" i="2"/>
  <c r="D73" i="2"/>
  <c r="D74" i="2"/>
  <c r="D75" i="2"/>
  <c r="D76" i="2"/>
  <c r="D77" i="2"/>
  <c r="D78" i="2"/>
  <c r="D79" i="2"/>
  <c r="D59" i="2"/>
  <c r="D82" i="2"/>
  <c r="F38" i="39" s="1"/>
  <c r="G38" i="39" s="1"/>
  <c r="D83" i="2"/>
  <c r="D85" i="2"/>
  <c r="D87" i="2"/>
  <c r="D88" i="2"/>
  <c r="D89" i="2"/>
  <c r="D90" i="2"/>
  <c r="D91" i="2"/>
  <c r="D92" i="2"/>
  <c r="D93" i="2"/>
  <c r="D94" i="2"/>
  <c r="D96" i="2"/>
  <c r="D81" i="2"/>
  <c r="D99" i="2"/>
  <c r="D101" i="2"/>
  <c r="D102" i="2"/>
  <c r="D98" i="2"/>
  <c r="D106" i="2"/>
  <c r="D107" i="2"/>
  <c r="D104" i="2"/>
  <c r="D111" i="2"/>
  <c r="D112" i="2"/>
  <c r="D109" i="2"/>
  <c r="D115" i="2"/>
  <c r="J51" i="39" s="1"/>
  <c r="D116" i="2"/>
  <c r="D117" i="2"/>
  <c r="D118" i="2"/>
  <c r="D121" i="2"/>
  <c r="D122" i="2"/>
  <c r="V19" i="39" s="1"/>
  <c r="D123" i="2"/>
  <c r="V20" i="39" s="1"/>
  <c r="D125" i="2"/>
  <c r="V15" i="39" s="1"/>
  <c r="D126" i="2"/>
  <c r="D128" i="2"/>
  <c r="D129" i="2"/>
  <c r="D130" i="2"/>
  <c r="D131" i="2"/>
  <c r="V14" i="39" l="1"/>
  <c r="J46" i="39"/>
  <c r="F44" i="39"/>
  <c r="G44" i="39" s="1"/>
  <c r="V11" i="39"/>
  <c r="V12" i="39"/>
  <c r="J45" i="39"/>
  <c r="J14" i="39"/>
  <c r="L14" i="39" s="1"/>
  <c r="F37" i="39"/>
  <c r="G37" i="39" s="1"/>
  <c r="J16" i="39"/>
  <c r="L16" i="39" s="1"/>
  <c r="F36" i="39"/>
  <c r="G36" i="39" s="1"/>
  <c r="F42" i="39"/>
  <c r="G42" i="39" s="1"/>
  <c r="F45" i="39"/>
  <c r="G45" i="39" s="1"/>
  <c r="F39" i="39"/>
  <c r="G39" i="39" s="1"/>
  <c r="D80" i="2"/>
  <c r="E7" i="37" l="1"/>
  <c r="E5" i="37"/>
  <c r="K46" i="13" l="1"/>
  <c r="F18" i="9" l="1"/>
  <c r="G11" i="3"/>
  <c r="G83" i="3"/>
  <c r="G82" i="3"/>
  <c r="G81" i="3"/>
  <c r="G80" i="3"/>
  <c r="G69" i="3"/>
  <c r="G68" i="3"/>
  <c r="G67" i="3"/>
  <c r="G66" i="3"/>
  <c r="G55" i="3"/>
  <c r="G54" i="3"/>
  <c r="G53" i="3"/>
  <c r="G52" i="3"/>
  <c r="G41" i="3"/>
  <c r="G40" i="3"/>
  <c r="G39" i="3"/>
  <c r="G38" i="3"/>
  <c r="G27" i="3"/>
  <c r="G26" i="3"/>
  <c r="G25" i="3"/>
  <c r="G24" i="3"/>
  <c r="G13" i="3"/>
  <c r="G12" i="3"/>
  <c r="G10" i="3"/>
  <c r="R26" i="1"/>
  <c r="J2" i="37" s="1"/>
  <c r="B59" i="7" l="1"/>
  <c r="B58" i="7"/>
  <c r="B57" i="7"/>
  <c r="D63" i="7"/>
  <c r="B2" i="35" l="1"/>
  <c r="A39" i="35" s="1"/>
  <c r="D89" i="35"/>
  <c r="D77" i="35"/>
  <c r="J44" i="35"/>
  <c r="E81" i="35"/>
  <c r="P40" i="35"/>
  <c r="C31" i="35"/>
  <c r="D30" i="35"/>
  <c r="T124" i="35" s="1"/>
  <c r="C30" i="35"/>
  <c r="I29" i="35"/>
  <c r="D29" i="35"/>
  <c r="J29" i="35" s="1"/>
  <c r="K29" i="35" s="1"/>
  <c r="C29" i="35"/>
  <c r="I28" i="35"/>
  <c r="D28" i="35"/>
  <c r="J28" i="35" s="1"/>
  <c r="C28" i="35"/>
  <c r="D27" i="35"/>
  <c r="C27" i="35"/>
  <c r="I26" i="35"/>
  <c r="D26" i="35"/>
  <c r="J26" i="35" s="1"/>
  <c r="K26" i="35" s="1"/>
  <c r="C26" i="35"/>
  <c r="I25" i="35"/>
  <c r="D25" i="35"/>
  <c r="J25" i="35" s="1"/>
  <c r="C25" i="35"/>
  <c r="J24" i="35"/>
  <c r="I24" i="35"/>
  <c r="D24" i="35"/>
  <c r="C24" i="35"/>
  <c r="A24" i="35"/>
  <c r="A25" i="35" s="1"/>
  <c r="A26" i="35" s="1"/>
  <c r="A27" i="35" s="1"/>
  <c r="A28" i="35" s="1"/>
  <c r="A29" i="35" s="1"/>
  <c r="A30" i="35" s="1"/>
  <c r="I23" i="35"/>
  <c r="D23" i="35"/>
  <c r="J23" i="35" s="1"/>
  <c r="C23" i="35"/>
  <c r="D22" i="35"/>
  <c r="C22" i="35"/>
  <c r="I21" i="35"/>
  <c r="D21" i="35"/>
  <c r="J21" i="35" s="1"/>
  <c r="C21" i="35"/>
  <c r="D20" i="35"/>
  <c r="S103" i="35" s="1"/>
  <c r="C20" i="35"/>
  <c r="I19" i="35"/>
  <c r="D19" i="35"/>
  <c r="R85" i="35" s="1"/>
  <c r="C19" i="35"/>
  <c r="I18" i="35"/>
  <c r="D18" i="35"/>
  <c r="Q81" i="35" s="1"/>
  <c r="C18" i="35"/>
  <c r="D17" i="35"/>
  <c r="P149" i="35" s="1"/>
  <c r="C17" i="35"/>
  <c r="D16" i="35"/>
  <c r="O43" i="35" s="1"/>
  <c r="C16" i="35"/>
  <c r="I15" i="35"/>
  <c r="D15" i="35"/>
  <c r="C15" i="35"/>
  <c r="D14" i="35"/>
  <c r="M60" i="35" s="1"/>
  <c r="C14" i="35"/>
  <c r="I13" i="35"/>
  <c r="D13" i="35"/>
  <c r="L115" i="35" s="1"/>
  <c r="C13" i="35"/>
  <c r="I12" i="35"/>
  <c r="D12" i="35"/>
  <c r="K97" i="35" s="1"/>
  <c r="C12" i="35"/>
  <c r="I11" i="35"/>
  <c r="D11" i="35"/>
  <c r="J102" i="35" s="1"/>
  <c r="C11" i="35"/>
  <c r="D10" i="35"/>
  <c r="I91" i="35" s="1"/>
  <c r="C10" i="35"/>
  <c r="L55" i="35" l="1"/>
  <c r="L67" i="35"/>
  <c r="P43" i="35"/>
  <c r="L50" i="35"/>
  <c r="P61" i="35"/>
  <c r="Q73" i="35"/>
  <c r="J90" i="35"/>
  <c r="L51" i="35"/>
  <c r="L63" i="35"/>
  <c r="J75" i="35"/>
  <c r="J94" i="35"/>
  <c r="T63" i="35"/>
  <c r="J45" i="35"/>
  <c r="L65" i="35"/>
  <c r="T111" i="35"/>
  <c r="P39" i="35"/>
  <c r="L46" i="35"/>
  <c r="J54" i="35"/>
  <c r="T65" i="35"/>
  <c r="J78" i="35"/>
  <c r="L119" i="35"/>
  <c r="T119" i="35"/>
  <c r="L111" i="35"/>
  <c r="J11" i="35"/>
  <c r="O47" i="35"/>
  <c r="P41" i="35"/>
  <c r="J48" i="35"/>
  <c r="O57" i="35"/>
  <c r="T67" i="35"/>
  <c r="T88" i="35"/>
  <c r="T144" i="35"/>
  <c r="O52" i="35"/>
  <c r="T76" i="35"/>
  <c r="J53" i="35"/>
  <c r="T83" i="35"/>
  <c r="P42" i="35"/>
  <c r="J49" i="35"/>
  <c r="Q60" i="35"/>
  <c r="J69" i="35"/>
  <c r="M56" i="35"/>
  <c r="R71" i="35"/>
  <c r="S83" i="35"/>
  <c r="R104" i="35"/>
  <c r="M135" i="35"/>
  <c r="K24" i="35"/>
  <c r="L38" i="35"/>
  <c r="S39" i="35"/>
  <c r="S40" i="35"/>
  <c r="S41" i="35"/>
  <c r="S42" i="35"/>
  <c r="S43" i="35"/>
  <c r="R44" i="35"/>
  <c r="M45" i="35"/>
  <c r="M46" i="35"/>
  <c r="P47" i="35"/>
  <c r="R48" i="35"/>
  <c r="M49" i="35"/>
  <c r="M50" i="35"/>
  <c r="M51" i="35"/>
  <c r="P52" i="35"/>
  <c r="R53" i="35"/>
  <c r="M54" i="35"/>
  <c r="M55" i="35"/>
  <c r="Q56" i="35"/>
  <c r="I58" i="35"/>
  <c r="R59" i="35"/>
  <c r="R60" i="35"/>
  <c r="I62" i="35"/>
  <c r="R69" i="35"/>
  <c r="S71" i="35"/>
  <c r="R73" i="35"/>
  <c r="Q75" i="35"/>
  <c r="R78" i="35"/>
  <c r="S80" i="35"/>
  <c r="I87" i="35"/>
  <c r="R90" i="35"/>
  <c r="S95" i="35"/>
  <c r="O106" i="35"/>
  <c r="J19" i="35"/>
  <c r="K19" i="35" s="1"/>
  <c r="K21" i="35"/>
  <c r="M38" i="35"/>
  <c r="T39" i="35"/>
  <c r="T40" i="35"/>
  <c r="T41" i="35"/>
  <c r="T42" i="35"/>
  <c r="T43" i="35"/>
  <c r="S44" i="35"/>
  <c r="Q45" i="35"/>
  <c r="P46" i="35"/>
  <c r="S47" i="35"/>
  <c r="S48" i="35"/>
  <c r="Q49" i="35"/>
  <c r="P50" i="35"/>
  <c r="P51" i="35"/>
  <c r="S52" i="35"/>
  <c r="S53" i="35"/>
  <c r="Q54" i="35"/>
  <c r="P55" i="35"/>
  <c r="R56" i="35"/>
  <c r="J58" i="35"/>
  <c r="S59" i="35"/>
  <c r="I61" i="35"/>
  <c r="Q62" i="35"/>
  <c r="P64" i="35"/>
  <c r="P66" i="35"/>
  <c r="P68" i="35"/>
  <c r="S69" i="35"/>
  <c r="I73" i="35"/>
  <c r="M74" i="35"/>
  <c r="R75" i="35"/>
  <c r="O77" i="35"/>
  <c r="S78" i="35"/>
  <c r="M81" i="35"/>
  <c r="J85" i="35"/>
  <c r="Q87" i="35"/>
  <c r="O89" i="35"/>
  <c r="S90" i="35"/>
  <c r="P97" i="35"/>
  <c r="T106" i="35"/>
  <c r="T113" i="35"/>
  <c r="L122" i="35"/>
  <c r="M154" i="35"/>
  <c r="M59" i="35"/>
  <c r="R80" i="35"/>
  <c r="S85" i="35"/>
  <c r="K11" i="35"/>
  <c r="O39" i="35"/>
  <c r="O40" i="35"/>
  <c r="O41" i="35"/>
  <c r="O42" i="35"/>
  <c r="I45" i="35"/>
  <c r="R45" i="35"/>
  <c r="T46" i="35"/>
  <c r="T47" i="35"/>
  <c r="I49" i="35"/>
  <c r="R49" i="35"/>
  <c r="T50" i="35"/>
  <c r="T51" i="35"/>
  <c r="T52" i="35"/>
  <c r="I54" i="35"/>
  <c r="R54" i="35"/>
  <c r="T55" i="35"/>
  <c r="J57" i="35"/>
  <c r="S58" i="35"/>
  <c r="J61" i="35"/>
  <c r="T62" i="35"/>
  <c r="S64" i="35"/>
  <c r="S66" i="35"/>
  <c r="S68" i="35"/>
  <c r="J71" i="35"/>
  <c r="J73" i="35"/>
  <c r="I75" i="35"/>
  <c r="L76" i="35"/>
  <c r="P77" i="35"/>
  <c r="J80" i="35"/>
  <c r="P82" i="35"/>
  <c r="L88" i="35"/>
  <c r="P89" i="35"/>
  <c r="L92" i="35"/>
  <c r="T102" i="35"/>
  <c r="P108" i="35"/>
  <c r="P116" i="35"/>
  <c r="T127" i="35"/>
  <c r="K28" i="35"/>
  <c r="K23" i="35"/>
  <c r="K25" i="35"/>
  <c r="N161" i="35"/>
  <c r="N160" i="35"/>
  <c r="N159" i="35"/>
  <c r="N158" i="35"/>
  <c r="N157" i="35"/>
  <c r="N156" i="35"/>
  <c r="N155" i="35"/>
  <c r="N154" i="35"/>
  <c r="N153" i="35"/>
  <c r="N152" i="35"/>
  <c r="N151" i="35"/>
  <c r="N150" i="35"/>
  <c r="N149" i="35"/>
  <c r="N148" i="35"/>
  <c r="N147" i="35"/>
  <c r="N146" i="35"/>
  <c r="N145" i="35"/>
  <c r="N144" i="35"/>
  <c r="N143" i="35"/>
  <c r="N142" i="35"/>
  <c r="N141" i="35"/>
  <c r="N140" i="35"/>
  <c r="N139" i="35"/>
  <c r="N138" i="35"/>
  <c r="N137" i="35"/>
  <c r="N136" i="35"/>
  <c r="N135" i="35"/>
  <c r="N134" i="35"/>
  <c r="N133" i="35"/>
  <c r="N132" i="35"/>
  <c r="N131" i="35"/>
  <c r="N130" i="35"/>
  <c r="N129" i="35"/>
  <c r="N128" i="35"/>
  <c r="N127" i="35"/>
  <c r="N126" i="35"/>
  <c r="N125" i="35"/>
  <c r="N124" i="35"/>
  <c r="N123" i="35"/>
  <c r="N122" i="35"/>
  <c r="N121" i="35"/>
  <c r="N119" i="35"/>
  <c r="N117" i="35"/>
  <c r="N115" i="35"/>
  <c r="N113" i="35"/>
  <c r="N111" i="35"/>
  <c r="N109" i="35"/>
  <c r="N104" i="35"/>
  <c r="N100" i="35"/>
  <c r="N96" i="35"/>
  <c r="N120" i="35"/>
  <c r="N118" i="35"/>
  <c r="N116" i="35"/>
  <c r="N114" i="35"/>
  <c r="N112" i="35"/>
  <c r="N110" i="35"/>
  <c r="N108" i="35"/>
  <c r="N106" i="35"/>
  <c r="N102" i="35"/>
  <c r="N98" i="35"/>
  <c r="N94" i="35"/>
  <c r="N89" i="35"/>
  <c r="N83" i="35"/>
  <c r="N77" i="35"/>
  <c r="N68" i="35"/>
  <c r="N67" i="35"/>
  <c r="N66" i="35"/>
  <c r="N65" i="35"/>
  <c r="N64" i="35"/>
  <c r="N63" i="35"/>
  <c r="N105" i="35"/>
  <c r="N101" i="35"/>
  <c r="N97" i="35"/>
  <c r="N93" i="35"/>
  <c r="N88" i="35"/>
  <c r="N82" i="35"/>
  <c r="N76" i="35"/>
  <c r="N62" i="35"/>
  <c r="N44" i="35"/>
  <c r="N48" i="35"/>
  <c r="K52" i="35"/>
  <c r="K60" i="35"/>
  <c r="N61" i="35"/>
  <c r="N70" i="35"/>
  <c r="K83" i="35"/>
  <c r="N91" i="35"/>
  <c r="K93" i="35"/>
  <c r="K101" i="35"/>
  <c r="O159" i="35"/>
  <c r="O155" i="35"/>
  <c r="O151" i="35"/>
  <c r="O147" i="35"/>
  <c r="O143" i="35"/>
  <c r="O139" i="35"/>
  <c r="O135" i="35"/>
  <c r="O152" i="35"/>
  <c r="O149" i="35"/>
  <c r="O146" i="35"/>
  <c r="O136" i="35"/>
  <c r="O130" i="35"/>
  <c r="O126" i="35"/>
  <c r="O125" i="35"/>
  <c r="O124" i="35"/>
  <c r="O123" i="35"/>
  <c r="O122" i="35"/>
  <c r="O121" i="35"/>
  <c r="O120" i="35"/>
  <c r="O119" i="35"/>
  <c r="O118" i="35"/>
  <c r="O117" i="35"/>
  <c r="O116" i="35"/>
  <c r="O115" i="35"/>
  <c r="O114" i="35"/>
  <c r="O113" i="35"/>
  <c r="O112" i="35"/>
  <c r="O111" i="35"/>
  <c r="O110" i="35"/>
  <c r="O109" i="35"/>
  <c r="O108" i="35"/>
  <c r="O156" i="35"/>
  <c r="O153" i="35"/>
  <c r="O150" i="35"/>
  <c r="O140" i="35"/>
  <c r="O137" i="35"/>
  <c r="O134" i="35"/>
  <c r="O133" i="35"/>
  <c r="O129" i="35"/>
  <c r="O160" i="35"/>
  <c r="O157" i="35"/>
  <c r="O154" i="35"/>
  <c r="O144" i="35"/>
  <c r="O141" i="35"/>
  <c r="O138" i="35"/>
  <c r="O132" i="35"/>
  <c r="O128" i="35"/>
  <c r="O145" i="35"/>
  <c r="O107" i="35"/>
  <c r="O103" i="35"/>
  <c r="O99" i="35"/>
  <c r="O95" i="35"/>
  <c r="O158" i="35"/>
  <c r="O127" i="35"/>
  <c r="O105" i="35"/>
  <c r="O101" i="35"/>
  <c r="O97" i="35"/>
  <c r="O93" i="35"/>
  <c r="O88" i="35"/>
  <c r="O82" i="35"/>
  <c r="O76" i="35"/>
  <c r="O62" i="35"/>
  <c r="O61" i="35"/>
  <c r="O148" i="35"/>
  <c r="O104" i="35"/>
  <c r="O100" i="35"/>
  <c r="O96" i="35"/>
  <c r="O92" i="35"/>
  <c r="O87" i="35"/>
  <c r="O81" i="35"/>
  <c r="O75" i="35"/>
  <c r="O74" i="35"/>
  <c r="O73" i="35"/>
  <c r="L40" i="35"/>
  <c r="O44" i="35"/>
  <c r="I46" i="35"/>
  <c r="L47" i="35"/>
  <c r="K48" i="35"/>
  <c r="Q50" i="35"/>
  <c r="N54" i="35"/>
  <c r="Q55" i="35"/>
  <c r="K57" i="35"/>
  <c r="Q57" i="35"/>
  <c r="O58" i="35"/>
  <c r="I59" i="35"/>
  <c r="N59" i="35"/>
  <c r="O72" i="35"/>
  <c r="M160" i="35"/>
  <c r="M156" i="35"/>
  <c r="M152" i="35"/>
  <c r="M148" i="35"/>
  <c r="M144" i="35"/>
  <c r="M140" i="35"/>
  <c r="M136" i="35"/>
  <c r="M161" i="35"/>
  <c r="M158" i="35"/>
  <c r="M155" i="35"/>
  <c r="M145" i="35"/>
  <c r="M142" i="35"/>
  <c r="M139" i="35"/>
  <c r="M131" i="35"/>
  <c r="M127" i="35"/>
  <c r="M159" i="35"/>
  <c r="M149" i="35"/>
  <c r="M146" i="35"/>
  <c r="M143" i="35"/>
  <c r="M130" i="35"/>
  <c r="M153" i="35"/>
  <c r="M150" i="35"/>
  <c r="M147" i="35"/>
  <c r="M137" i="35"/>
  <c r="M134" i="35"/>
  <c r="M133" i="35"/>
  <c r="M129" i="35"/>
  <c r="M126" i="35"/>
  <c r="M125" i="35"/>
  <c r="M124" i="35"/>
  <c r="M123" i="35"/>
  <c r="M122" i="35"/>
  <c r="M121" i="35"/>
  <c r="M120" i="35"/>
  <c r="M119" i="35"/>
  <c r="M118" i="35"/>
  <c r="M117" i="35"/>
  <c r="M116" i="35"/>
  <c r="M115" i="35"/>
  <c r="M114" i="35"/>
  <c r="M113" i="35"/>
  <c r="M112" i="35"/>
  <c r="M111" i="35"/>
  <c r="M110" i="35"/>
  <c r="M109" i="35"/>
  <c r="M108" i="35"/>
  <c r="M107" i="35"/>
  <c r="M106" i="35"/>
  <c r="M105" i="35"/>
  <c r="M104" i="35"/>
  <c r="M103" i="35"/>
  <c r="M102" i="35"/>
  <c r="M101" i="35"/>
  <c r="M100" i="35"/>
  <c r="M99" i="35"/>
  <c r="M98" i="35"/>
  <c r="M97" i="35"/>
  <c r="M96" i="35"/>
  <c r="M95" i="35"/>
  <c r="M94" i="35"/>
  <c r="M93" i="35"/>
  <c r="M92" i="35"/>
  <c r="M91" i="35"/>
  <c r="M157" i="35"/>
  <c r="M138" i="35"/>
  <c r="M128" i="35"/>
  <c r="M151" i="35"/>
  <c r="M90" i="35"/>
  <c r="M86" i="35"/>
  <c r="M85" i="35"/>
  <c r="M84" i="35"/>
  <c r="M80" i="35"/>
  <c r="M79" i="35"/>
  <c r="M78" i="35"/>
  <c r="M72" i="35"/>
  <c r="M71" i="35"/>
  <c r="M70" i="35"/>
  <c r="M69" i="35"/>
  <c r="M141" i="35"/>
  <c r="M132" i="35"/>
  <c r="M89" i="35"/>
  <c r="M83" i="35"/>
  <c r="M77" i="35"/>
  <c r="M68" i="35"/>
  <c r="M67" i="35"/>
  <c r="M66" i="35"/>
  <c r="M65" i="35"/>
  <c r="M64" i="35"/>
  <c r="M63" i="35"/>
  <c r="J15" i="35"/>
  <c r="K15" i="35" s="1"/>
  <c r="R161" i="35"/>
  <c r="R160" i="35"/>
  <c r="R159" i="35"/>
  <c r="R158" i="35"/>
  <c r="R157" i="35"/>
  <c r="R156" i="35"/>
  <c r="R155" i="35"/>
  <c r="R154" i="35"/>
  <c r="R153" i="35"/>
  <c r="R152" i="35"/>
  <c r="R151" i="35"/>
  <c r="R150" i="35"/>
  <c r="R149" i="35"/>
  <c r="R148" i="35"/>
  <c r="R147" i="35"/>
  <c r="R146" i="35"/>
  <c r="R145" i="35"/>
  <c r="R144" i="35"/>
  <c r="R143" i="35"/>
  <c r="R142" i="35"/>
  <c r="R141" i="35"/>
  <c r="R140" i="35"/>
  <c r="R139" i="35"/>
  <c r="R138" i="35"/>
  <c r="R137" i="35"/>
  <c r="R136" i="35"/>
  <c r="R135" i="35"/>
  <c r="R134" i="35"/>
  <c r="R133" i="35"/>
  <c r="R132" i="35"/>
  <c r="R131" i="35"/>
  <c r="R130" i="35"/>
  <c r="R129" i="35"/>
  <c r="R128" i="35"/>
  <c r="R127" i="35"/>
  <c r="R126" i="35"/>
  <c r="R125" i="35"/>
  <c r="R124" i="35"/>
  <c r="R123" i="35"/>
  <c r="R122" i="35"/>
  <c r="R121" i="35"/>
  <c r="R120" i="35"/>
  <c r="R118" i="35"/>
  <c r="R116" i="35"/>
  <c r="R114" i="35"/>
  <c r="R112" i="35"/>
  <c r="R110" i="35"/>
  <c r="R108" i="35"/>
  <c r="R105" i="35"/>
  <c r="R101" i="35"/>
  <c r="R97" i="35"/>
  <c r="R119" i="35"/>
  <c r="R117" i="35"/>
  <c r="R115" i="35"/>
  <c r="R113" i="35"/>
  <c r="R111" i="35"/>
  <c r="R109" i="35"/>
  <c r="R107" i="35"/>
  <c r="R103" i="35"/>
  <c r="R99" i="35"/>
  <c r="R95" i="35"/>
  <c r="R91" i="35"/>
  <c r="R89" i="35"/>
  <c r="R83" i="35"/>
  <c r="R77" i="35"/>
  <c r="R68" i="35"/>
  <c r="R67" i="35"/>
  <c r="R66" i="35"/>
  <c r="R65" i="35"/>
  <c r="R64" i="35"/>
  <c r="R63" i="35"/>
  <c r="R106" i="35"/>
  <c r="R102" i="35"/>
  <c r="R98" i="35"/>
  <c r="R94" i="35"/>
  <c r="R88" i="35"/>
  <c r="R82" i="35"/>
  <c r="R76" i="35"/>
  <c r="R62" i="35"/>
  <c r="R61" i="35"/>
  <c r="J38" i="35"/>
  <c r="N38" i="35"/>
  <c r="R38" i="35"/>
  <c r="I39" i="35"/>
  <c r="M39" i="35"/>
  <c r="Q39" i="35"/>
  <c r="I40" i="35"/>
  <c r="M40" i="35"/>
  <c r="Q40" i="35"/>
  <c r="I41" i="35"/>
  <c r="M41" i="35"/>
  <c r="Q41" i="35"/>
  <c r="I42" i="35"/>
  <c r="M42" i="35"/>
  <c r="Q42" i="35"/>
  <c r="I43" i="35"/>
  <c r="M43" i="35"/>
  <c r="Q43" i="35"/>
  <c r="L44" i="35"/>
  <c r="P44" i="35"/>
  <c r="T44" i="35"/>
  <c r="K45" i="35"/>
  <c r="O45" i="35"/>
  <c r="S45" i="35"/>
  <c r="J46" i="35"/>
  <c r="N46" i="35"/>
  <c r="R46" i="35"/>
  <c r="I47" i="35"/>
  <c r="M47" i="35"/>
  <c r="Q47" i="35"/>
  <c r="L48" i="35"/>
  <c r="P48" i="35"/>
  <c r="T48" i="35"/>
  <c r="K49" i="35"/>
  <c r="O49" i="35"/>
  <c r="S49" i="35"/>
  <c r="J50" i="35"/>
  <c r="N50" i="35"/>
  <c r="R50" i="35"/>
  <c r="J51" i="35"/>
  <c r="N51" i="35"/>
  <c r="R51" i="35"/>
  <c r="I52" i="35"/>
  <c r="M52" i="35"/>
  <c r="Q52" i="35"/>
  <c r="L53" i="35"/>
  <c r="P53" i="35"/>
  <c r="T53" i="35"/>
  <c r="K54" i="35"/>
  <c r="O54" i="35"/>
  <c r="S54" i="35"/>
  <c r="J55" i="35"/>
  <c r="N55" i="35"/>
  <c r="R55" i="35"/>
  <c r="I56" i="35"/>
  <c r="N56" i="35"/>
  <c r="S56" i="35"/>
  <c r="M57" i="35"/>
  <c r="R57" i="35"/>
  <c r="K58" i="35"/>
  <c r="Q58" i="35"/>
  <c r="J59" i="35"/>
  <c r="O59" i="35"/>
  <c r="I60" i="35"/>
  <c r="N60" i="35"/>
  <c r="S60" i="35"/>
  <c r="L61" i="35"/>
  <c r="Q61" i="35"/>
  <c r="M62" i="35"/>
  <c r="P63" i="35"/>
  <c r="L64" i="35"/>
  <c r="T64" i="35"/>
  <c r="P65" i="35"/>
  <c r="L66" i="35"/>
  <c r="T66" i="35"/>
  <c r="P67" i="35"/>
  <c r="L68" i="35"/>
  <c r="T68" i="35"/>
  <c r="N69" i="35"/>
  <c r="J70" i="35"/>
  <c r="R70" i="35"/>
  <c r="N71" i="35"/>
  <c r="J72" i="35"/>
  <c r="R72" i="35"/>
  <c r="M73" i="35"/>
  <c r="I74" i="35"/>
  <c r="Q74" i="35"/>
  <c r="M75" i="35"/>
  <c r="P76" i="35"/>
  <c r="K77" i="35"/>
  <c r="S77" i="35"/>
  <c r="N78" i="35"/>
  <c r="J79" i="35"/>
  <c r="R79" i="35"/>
  <c r="N80" i="35"/>
  <c r="I81" i="35"/>
  <c r="L82" i="35"/>
  <c r="T82" i="35"/>
  <c r="O83" i="35"/>
  <c r="J84" i="35"/>
  <c r="R84" i="35"/>
  <c r="N85" i="35"/>
  <c r="J86" i="35"/>
  <c r="R86" i="35"/>
  <c r="M87" i="35"/>
  <c r="P88" i="35"/>
  <c r="K89" i="35"/>
  <c r="S89" i="35"/>
  <c r="N90" i="35"/>
  <c r="S91" i="35"/>
  <c r="R92" i="35"/>
  <c r="P93" i="35"/>
  <c r="T94" i="35"/>
  <c r="R96" i="35"/>
  <c r="O98" i="35"/>
  <c r="L100" i="35"/>
  <c r="P105" i="35"/>
  <c r="N107" i="35"/>
  <c r="T109" i="35"/>
  <c r="P112" i="35"/>
  <c r="T117" i="35"/>
  <c r="P120" i="35"/>
  <c r="O131" i="35"/>
  <c r="K140" i="35"/>
  <c r="K159" i="35"/>
  <c r="K40" i="35"/>
  <c r="K41" i="35"/>
  <c r="N53" i="35"/>
  <c r="N79" i="35"/>
  <c r="N86" i="35"/>
  <c r="I159" i="35"/>
  <c r="I155" i="35"/>
  <c r="I151" i="35"/>
  <c r="I147" i="35"/>
  <c r="I143" i="35"/>
  <c r="I139" i="35"/>
  <c r="I135" i="35"/>
  <c r="I156" i="35"/>
  <c r="I153" i="35"/>
  <c r="I150" i="35"/>
  <c r="I140" i="35"/>
  <c r="I137" i="35"/>
  <c r="I134" i="35"/>
  <c r="I130" i="35"/>
  <c r="I160" i="35"/>
  <c r="I157" i="35"/>
  <c r="I154" i="35"/>
  <c r="I144" i="35"/>
  <c r="I141" i="35"/>
  <c r="I138" i="35"/>
  <c r="I133" i="35"/>
  <c r="I129" i="35"/>
  <c r="I161" i="35"/>
  <c r="I158" i="35"/>
  <c r="I148" i="35"/>
  <c r="I145" i="35"/>
  <c r="I142" i="35"/>
  <c r="I132" i="35"/>
  <c r="I128" i="35"/>
  <c r="I126" i="35"/>
  <c r="I125" i="35"/>
  <c r="I124" i="35"/>
  <c r="I123" i="35"/>
  <c r="I122" i="35"/>
  <c r="I121" i="35"/>
  <c r="I120" i="35"/>
  <c r="I119" i="35"/>
  <c r="I118" i="35"/>
  <c r="I117" i="35"/>
  <c r="I116" i="35"/>
  <c r="I115" i="35"/>
  <c r="I114" i="35"/>
  <c r="I113" i="35"/>
  <c r="I112" i="35"/>
  <c r="I111" i="35"/>
  <c r="I110" i="35"/>
  <c r="I109" i="35"/>
  <c r="I108" i="35"/>
  <c r="I107" i="35"/>
  <c r="I106" i="35"/>
  <c r="I105" i="35"/>
  <c r="I104" i="35"/>
  <c r="I103" i="35"/>
  <c r="I102" i="35"/>
  <c r="I101" i="35"/>
  <c r="I100" i="35"/>
  <c r="I99" i="35"/>
  <c r="I98" i="35"/>
  <c r="I97" i="35"/>
  <c r="I96" i="35"/>
  <c r="I95" i="35"/>
  <c r="I94" i="35"/>
  <c r="I93" i="35"/>
  <c r="I92" i="35"/>
  <c r="I136" i="35"/>
  <c r="I149" i="35"/>
  <c r="I131" i="35"/>
  <c r="I90" i="35"/>
  <c r="I86" i="35"/>
  <c r="I85" i="35"/>
  <c r="I84" i="35"/>
  <c r="I80" i="35"/>
  <c r="I79" i="35"/>
  <c r="I78" i="35"/>
  <c r="I72" i="35"/>
  <c r="I71" i="35"/>
  <c r="I70" i="35"/>
  <c r="I69" i="35"/>
  <c r="I146" i="35"/>
  <c r="I127" i="35"/>
  <c r="I89" i="35"/>
  <c r="I83" i="35"/>
  <c r="I77" i="35"/>
  <c r="I68" i="35"/>
  <c r="I67" i="35"/>
  <c r="I66" i="35"/>
  <c r="I65" i="35"/>
  <c r="I64" i="35"/>
  <c r="I63" i="35"/>
  <c r="L161" i="35"/>
  <c r="L157" i="35"/>
  <c r="L153" i="35"/>
  <c r="L149" i="35"/>
  <c r="L145" i="35"/>
  <c r="L141" i="35"/>
  <c r="L137" i="35"/>
  <c r="L154" i="35"/>
  <c r="L151" i="35"/>
  <c r="L148" i="35"/>
  <c r="L138" i="35"/>
  <c r="L135" i="35"/>
  <c r="L132" i="35"/>
  <c r="L128" i="35"/>
  <c r="L158" i="35"/>
  <c r="L155" i="35"/>
  <c r="L152" i="35"/>
  <c r="L142" i="35"/>
  <c r="L139" i="35"/>
  <c r="L136" i="35"/>
  <c r="L131" i="35"/>
  <c r="L127" i="35"/>
  <c r="L159" i="35"/>
  <c r="L156" i="35"/>
  <c r="L146" i="35"/>
  <c r="L143" i="35"/>
  <c r="L140" i="35"/>
  <c r="L130" i="35"/>
  <c r="L150" i="35"/>
  <c r="L125" i="35"/>
  <c r="L105" i="35"/>
  <c r="L101" i="35"/>
  <c r="L97" i="35"/>
  <c r="L144" i="35"/>
  <c r="L129" i="35"/>
  <c r="L123" i="35"/>
  <c r="L107" i="35"/>
  <c r="L103" i="35"/>
  <c r="L99" i="35"/>
  <c r="L95" i="35"/>
  <c r="L91" i="35"/>
  <c r="L87" i="35"/>
  <c r="L81" i="35"/>
  <c r="L75" i="35"/>
  <c r="L74" i="35"/>
  <c r="L73" i="35"/>
  <c r="L60" i="35"/>
  <c r="L59" i="35"/>
  <c r="L58" i="35"/>
  <c r="L57" i="35"/>
  <c r="L56" i="35"/>
  <c r="L160" i="35"/>
  <c r="L134" i="35"/>
  <c r="L124" i="35"/>
  <c r="L120" i="35"/>
  <c r="L118" i="35"/>
  <c r="L116" i="35"/>
  <c r="L114" i="35"/>
  <c r="L112" i="35"/>
  <c r="L110" i="35"/>
  <c r="L108" i="35"/>
  <c r="L106" i="35"/>
  <c r="L102" i="35"/>
  <c r="L98" i="35"/>
  <c r="L94" i="35"/>
  <c r="L90" i="35"/>
  <c r="L86" i="35"/>
  <c r="L85" i="35"/>
  <c r="L84" i="35"/>
  <c r="L80" i="35"/>
  <c r="L79" i="35"/>
  <c r="L78" i="35"/>
  <c r="L72" i="35"/>
  <c r="L71" i="35"/>
  <c r="L70" i="35"/>
  <c r="L69" i="35"/>
  <c r="Q161" i="35"/>
  <c r="Q157" i="35"/>
  <c r="Q153" i="35"/>
  <c r="Q149" i="35"/>
  <c r="Q145" i="35"/>
  <c r="Q141" i="35"/>
  <c r="Q137" i="35"/>
  <c r="Q160" i="35"/>
  <c r="Q150" i="35"/>
  <c r="Q147" i="35"/>
  <c r="Q144" i="35"/>
  <c r="Q134" i="35"/>
  <c r="Q132" i="35"/>
  <c r="Q128" i="35"/>
  <c r="Q154" i="35"/>
  <c r="Q151" i="35"/>
  <c r="Q148" i="35"/>
  <c r="Q138" i="35"/>
  <c r="Q135" i="35"/>
  <c r="Q131" i="35"/>
  <c r="Q127" i="35"/>
  <c r="Q158" i="35"/>
  <c r="Q155" i="35"/>
  <c r="Q152" i="35"/>
  <c r="Q142" i="35"/>
  <c r="Q139" i="35"/>
  <c r="Q136" i="35"/>
  <c r="Q130" i="35"/>
  <c r="Q126" i="35"/>
  <c r="Q125" i="35"/>
  <c r="Q124" i="35"/>
  <c r="Q123" i="35"/>
  <c r="Q122" i="35"/>
  <c r="Q121" i="35"/>
  <c r="Q120" i="35"/>
  <c r="Q119" i="35"/>
  <c r="Q118" i="35"/>
  <c r="Q117" i="35"/>
  <c r="Q116" i="35"/>
  <c r="Q115" i="35"/>
  <c r="Q114" i="35"/>
  <c r="Q113" i="35"/>
  <c r="Q112" i="35"/>
  <c r="Q111" i="35"/>
  <c r="Q110" i="35"/>
  <c r="Q109" i="35"/>
  <c r="Q108" i="35"/>
  <c r="Q107" i="35"/>
  <c r="Q106" i="35"/>
  <c r="Q105" i="35"/>
  <c r="Q104" i="35"/>
  <c r="Q103" i="35"/>
  <c r="Q102" i="35"/>
  <c r="Q101" i="35"/>
  <c r="Q100" i="35"/>
  <c r="Q99" i="35"/>
  <c r="Q98" i="35"/>
  <c r="Q97" i="35"/>
  <c r="Q96" i="35"/>
  <c r="Q95" i="35"/>
  <c r="Q94" i="35"/>
  <c r="Q93" i="35"/>
  <c r="Q92" i="35"/>
  <c r="Q91" i="35"/>
  <c r="Q159" i="35"/>
  <c r="Q140" i="35"/>
  <c r="Q133" i="35"/>
  <c r="Q146" i="35"/>
  <c r="Q90" i="35"/>
  <c r="Q86" i="35"/>
  <c r="Q85" i="35"/>
  <c r="Q84" i="35"/>
  <c r="Q80" i="35"/>
  <c r="Q79" i="35"/>
  <c r="Q78" i="35"/>
  <c r="Q72" i="35"/>
  <c r="Q71" i="35"/>
  <c r="Q70" i="35"/>
  <c r="Q69" i="35"/>
  <c r="Q143" i="35"/>
  <c r="Q89" i="35"/>
  <c r="Q83" i="35"/>
  <c r="Q77" i="35"/>
  <c r="Q68" i="35"/>
  <c r="Q67" i="35"/>
  <c r="Q66" i="35"/>
  <c r="Q65" i="35"/>
  <c r="Q64" i="35"/>
  <c r="Q63" i="35"/>
  <c r="I38" i="35"/>
  <c r="Q38" i="35"/>
  <c r="L39" i="35"/>
  <c r="L41" i="35"/>
  <c r="L42" i="35"/>
  <c r="L43" i="35"/>
  <c r="K44" i="35"/>
  <c r="Q46" i="35"/>
  <c r="L52" i="35"/>
  <c r="I55" i="35"/>
  <c r="K66" i="35"/>
  <c r="J12" i="35"/>
  <c r="K12" i="35" s="1"/>
  <c r="J161" i="35"/>
  <c r="J160" i="35"/>
  <c r="J159" i="35"/>
  <c r="J158" i="35"/>
  <c r="J157" i="35"/>
  <c r="J156" i="35"/>
  <c r="J155" i="35"/>
  <c r="J154" i="35"/>
  <c r="J153" i="35"/>
  <c r="J152" i="35"/>
  <c r="J151" i="35"/>
  <c r="J150" i="35"/>
  <c r="J149" i="35"/>
  <c r="J148" i="35"/>
  <c r="J147" i="35"/>
  <c r="J146" i="35"/>
  <c r="J145" i="35"/>
  <c r="J144" i="35"/>
  <c r="J143" i="35"/>
  <c r="J142" i="35"/>
  <c r="J141" i="35"/>
  <c r="J140" i="35"/>
  <c r="J139" i="35"/>
  <c r="J138" i="35"/>
  <c r="J137" i="35"/>
  <c r="J136" i="35"/>
  <c r="J135" i="35"/>
  <c r="J134" i="35"/>
  <c r="J133" i="35"/>
  <c r="J132" i="35"/>
  <c r="J131" i="35"/>
  <c r="J130" i="35"/>
  <c r="J129" i="35"/>
  <c r="J128" i="35"/>
  <c r="J127" i="35"/>
  <c r="J126" i="35"/>
  <c r="J125" i="35"/>
  <c r="J124" i="35"/>
  <c r="J123" i="35"/>
  <c r="J122" i="35"/>
  <c r="J120" i="35"/>
  <c r="J118" i="35"/>
  <c r="J116" i="35"/>
  <c r="J114" i="35"/>
  <c r="J112" i="35"/>
  <c r="J110" i="35"/>
  <c r="J108" i="35"/>
  <c r="J107" i="35"/>
  <c r="J103" i="35"/>
  <c r="J99" i="35"/>
  <c r="J95" i="35"/>
  <c r="J121" i="35"/>
  <c r="J119" i="35"/>
  <c r="J117" i="35"/>
  <c r="J115" i="35"/>
  <c r="J113" i="35"/>
  <c r="J111" i="35"/>
  <c r="J109" i="35"/>
  <c r="J105" i="35"/>
  <c r="J101" i="35"/>
  <c r="J97" i="35"/>
  <c r="J93" i="35"/>
  <c r="J89" i="35"/>
  <c r="J83" i="35"/>
  <c r="J77" i="35"/>
  <c r="J68" i="35"/>
  <c r="J67" i="35"/>
  <c r="J66" i="35"/>
  <c r="J65" i="35"/>
  <c r="J64" i="35"/>
  <c r="J63" i="35"/>
  <c r="J104" i="35"/>
  <c r="J100" i="35"/>
  <c r="J96" i="35"/>
  <c r="J92" i="35"/>
  <c r="J88" i="35"/>
  <c r="J82" i="35"/>
  <c r="J76" i="35"/>
  <c r="J62" i="35"/>
  <c r="J13" i="35"/>
  <c r="K13" i="35" s="1"/>
  <c r="P158" i="35"/>
  <c r="P154" i="35"/>
  <c r="P150" i="35"/>
  <c r="P146" i="35"/>
  <c r="P142" i="35"/>
  <c r="P138" i="35"/>
  <c r="P134" i="35"/>
  <c r="P159" i="35"/>
  <c r="P156" i="35"/>
  <c r="P153" i="35"/>
  <c r="P143" i="35"/>
  <c r="P140" i="35"/>
  <c r="P137" i="35"/>
  <c r="P133" i="35"/>
  <c r="P129" i="35"/>
  <c r="P160" i="35"/>
  <c r="P157" i="35"/>
  <c r="P147" i="35"/>
  <c r="P144" i="35"/>
  <c r="P141" i="35"/>
  <c r="P132" i="35"/>
  <c r="P128" i="35"/>
  <c r="P161" i="35"/>
  <c r="P151" i="35"/>
  <c r="P148" i="35"/>
  <c r="P145" i="35"/>
  <c r="P135" i="35"/>
  <c r="P131" i="35"/>
  <c r="P127" i="35"/>
  <c r="P152" i="35"/>
  <c r="P126" i="35"/>
  <c r="P122" i="35"/>
  <c r="P106" i="35"/>
  <c r="P102" i="35"/>
  <c r="P98" i="35"/>
  <c r="P94" i="35"/>
  <c r="P139" i="35"/>
  <c r="P124" i="35"/>
  <c r="P104" i="35"/>
  <c r="P100" i="35"/>
  <c r="P96" i="35"/>
  <c r="P92" i="35"/>
  <c r="P87" i="35"/>
  <c r="P81" i="35"/>
  <c r="P75" i="35"/>
  <c r="P74" i="35"/>
  <c r="P73" i="35"/>
  <c r="P60" i="35"/>
  <c r="P59" i="35"/>
  <c r="P58" i="35"/>
  <c r="P57" i="35"/>
  <c r="P56" i="35"/>
  <c r="P155" i="35"/>
  <c r="P136" i="35"/>
  <c r="P130" i="35"/>
  <c r="P125" i="35"/>
  <c r="P121" i="35"/>
  <c r="P119" i="35"/>
  <c r="P117" i="35"/>
  <c r="P115" i="35"/>
  <c r="P113" i="35"/>
  <c r="P111" i="35"/>
  <c r="P109" i="35"/>
  <c r="P107" i="35"/>
  <c r="P103" i="35"/>
  <c r="P99" i="35"/>
  <c r="P95" i="35"/>
  <c r="P91" i="35"/>
  <c r="P90" i="35"/>
  <c r="P86" i="35"/>
  <c r="P85" i="35"/>
  <c r="P84" i="35"/>
  <c r="P80" i="35"/>
  <c r="P79" i="35"/>
  <c r="P78" i="35"/>
  <c r="P72" i="35"/>
  <c r="P71" i="35"/>
  <c r="P70" i="35"/>
  <c r="P69" i="35"/>
  <c r="J18" i="35"/>
  <c r="K18" i="35" s="1"/>
  <c r="S160" i="35"/>
  <c r="S156" i="35"/>
  <c r="S152" i="35"/>
  <c r="S148" i="35"/>
  <c r="S144" i="35"/>
  <c r="S140" i="35"/>
  <c r="S136" i="35"/>
  <c r="S157" i="35"/>
  <c r="S154" i="35"/>
  <c r="S151" i="35"/>
  <c r="S141" i="35"/>
  <c r="S138" i="35"/>
  <c r="S135" i="35"/>
  <c r="S131" i="35"/>
  <c r="S127" i="35"/>
  <c r="S125" i="35"/>
  <c r="S124" i="35"/>
  <c r="S123" i="35"/>
  <c r="S122" i="35"/>
  <c r="S121" i="35"/>
  <c r="S120" i="35"/>
  <c r="S119" i="35"/>
  <c r="S118" i="35"/>
  <c r="S117" i="35"/>
  <c r="S116" i="35"/>
  <c r="S115" i="35"/>
  <c r="S114" i="35"/>
  <c r="S113" i="35"/>
  <c r="S112" i="35"/>
  <c r="S111" i="35"/>
  <c r="S110" i="35"/>
  <c r="S109" i="35"/>
  <c r="S108" i="35"/>
  <c r="S107" i="35"/>
  <c r="S161" i="35"/>
  <c r="S158" i="35"/>
  <c r="S155" i="35"/>
  <c r="S145" i="35"/>
  <c r="S142" i="35"/>
  <c r="S139" i="35"/>
  <c r="S130" i="35"/>
  <c r="S126" i="35"/>
  <c r="S159" i="35"/>
  <c r="S149" i="35"/>
  <c r="S146" i="35"/>
  <c r="S143" i="35"/>
  <c r="S133" i="35"/>
  <c r="S129" i="35"/>
  <c r="S147" i="35"/>
  <c r="S104" i="35"/>
  <c r="S100" i="35"/>
  <c r="S96" i="35"/>
  <c r="S153" i="35"/>
  <c r="S134" i="35"/>
  <c r="S132" i="35"/>
  <c r="S106" i="35"/>
  <c r="S102" i="35"/>
  <c r="S98" i="35"/>
  <c r="S94" i="35"/>
  <c r="S88" i="35"/>
  <c r="S82" i="35"/>
  <c r="S76" i="35"/>
  <c r="S62" i="35"/>
  <c r="S61" i="35"/>
  <c r="S150" i="35"/>
  <c r="S128" i="35"/>
  <c r="S105" i="35"/>
  <c r="S101" i="35"/>
  <c r="S97" i="35"/>
  <c r="S93" i="35"/>
  <c r="S87" i="35"/>
  <c r="S81" i="35"/>
  <c r="S75" i="35"/>
  <c r="S74" i="35"/>
  <c r="S73" i="35"/>
  <c r="T159" i="35"/>
  <c r="T155" i="35"/>
  <c r="T151" i="35"/>
  <c r="T147" i="35"/>
  <c r="T143" i="35"/>
  <c r="T139" i="35"/>
  <c r="T135" i="35"/>
  <c r="T161" i="35"/>
  <c r="T158" i="35"/>
  <c r="T148" i="35"/>
  <c r="T145" i="35"/>
  <c r="T142" i="35"/>
  <c r="T130" i="35"/>
  <c r="T126" i="35"/>
  <c r="T152" i="35"/>
  <c r="T149" i="35"/>
  <c r="T146" i="35"/>
  <c r="T136" i="35"/>
  <c r="T133" i="35"/>
  <c r="T129" i="35"/>
  <c r="T156" i="35"/>
  <c r="T153" i="35"/>
  <c r="T150" i="35"/>
  <c r="T140" i="35"/>
  <c r="T137" i="35"/>
  <c r="T134" i="35"/>
  <c r="T132" i="35"/>
  <c r="T128" i="35"/>
  <c r="T154" i="35"/>
  <c r="T131" i="35"/>
  <c r="T123" i="35"/>
  <c r="T103" i="35"/>
  <c r="T99" i="35"/>
  <c r="T95" i="35"/>
  <c r="T160" i="35"/>
  <c r="T141" i="35"/>
  <c r="T125" i="35"/>
  <c r="T121" i="35"/>
  <c r="T105" i="35"/>
  <c r="T101" i="35"/>
  <c r="T97" i="35"/>
  <c r="T93" i="35"/>
  <c r="T87" i="35"/>
  <c r="T81" i="35"/>
  <c r="T75" i="35"/>
  <c r="T74" i="35"/>
  <c r="T73" i="35"/>
  <c r="T60" i="35"/>
  <c r="T59" i="35"/>
  <c r="T58" i="35"/>
  <c r="T57" i="35"/>
  <c r="T56" i="35"/>
  <c r="T157" i="35"/>
  <c r="T138" i="35"/>
  <c r="T122" i="35"/>
  <c r="T120" i="35"/>
  <c r="T118" i="35"/>
  <c r="T116" i="35"/>
  <c r="T114" i="35"/>
  <c r="T112" i="35"/>
  <c r="T110" i="35"/>
  <c r="T108" i="35"/>
  <c r="T104" i="35"/>
  <c r="T100" i="35"/>
  <c r="T96" i="35"/>
  <c r="T92" i="35"/>
  <c r="T90" i="35"/>
  <c r="T86" i="35"/>
  <c r="T85" i="35"/>
  <c r="T84" i="35"/>
  <c r="T80" i="35"/>
  <c r="T79" i="35"/>
  <c r="T78" i="35"/>
  <c r="T72" i="35"/>
  <c r="T71" i="35"/>
  <c r="T70" i="35"/>
  <c r="T69" i="35"/>
  <c r="K38" i="35"/>
  <c r="J39" i="35"/>
  <c r="N39" i="35"/>
  <c r="R39" i="35"/>
  <c r="J40" i="35"/>
  <c r="N40" i="35"/>
  <c r="R40" i="35"/>
  <c r="J41" i="35"/>
  <c r="N41" i="35"/>
  <c r="R41" i="35"/>
  <c r="J42" i="35"/>
  <c r="N42" i="35"/>
  <c r="R42" i="35"/>
  <c r="J43" i="35"/>
  <c r="N43" i="35"/>
  <c r="R43" i="35"/>
  <c r="I44" i="35"/>
  <c r="M44" i="35"/>
  <c r="Q44" i="35"/>
  <c r="L45" i="35"/>
  <c r="P45" i="35"/>
  <c r="T45" i="35"/>
  <c r="K46" i="35"/>
  <c r="O46" i="35"/>
  <c r="S46" i="35"/>
  <c r="J47" i="35"/>
  <c r="N47" i="35"/>
  <c r="R47" i="35"/>
  <c r="I48" i="35"/>
  <c r="M48" i="35"/>
  <c r="Q48" i="35"/>
  <c r="L49" i="35"/>
  <c r="P49" i="35"/>
  <c r="T49" i="35"/>
  <c r="K50" i="35"/>
  <c r="O50" i="35"/>
  <c r="S50" i="35"/>
  <c r="K51" i="35"/>
  <c r="O51" i="35"/>
  <c r="S51" i="35"/>
  <c r="J52" i="35"/>
  <c r="N52" i="35"/>
  <c r="R52" i="35"/>
  <c r="I53" i="35"/>
  <c r="M53" i="35"/>
  <c r="Q53" i="35"/>
  <c r="L54" i="35"/>
  <c r="P54" i="35"/>
  <c r="T54" i="35"/>
  <c r="K55" i="35"/>
  <c r="O55" i="35"/>
  <c r="S55" i="35"/>
  <c r="J56" i="35"/>
  <c r="O56" i="35"/>
  <c r="I57" i="35"/>
  <c r="N57" i="35"/>
  <c r="S57" i="35"/>
  <c r="M58" i="35"/>
  <c r="R58" i="35"/>
  <c r="K59" i="35"/>
  <c r="Q59" i="35"/>
  <c r="J60" i="35"/>
  <c r="O60" i="35"/>
  <c r="E61" i="35"/>
  <c r="E63" i="35" s="1"/>
  <c r="M61" i="35"/>
  <c r="T61" i="35"/>
  <c r="P62" i="35"/>
  <c r="K63" i="35"/>
  <c r="S63" i="35"/>
  <c r="O64" i="35"/>
  <c r="K65" i="35"/>
  <c r="S65" i="35"/>
  <c r="O66" i="35"/>
  <c r="K67" i="35"/>
  <c r="S67" i="35"/>
  <c r="O68" i="35"/>
  <c r="O69" i="35"/>
  <c r="K70" i="35"/>
  <c r="S70" i="35"/>
  <c r="O71" i="35"/>
  <c r="K72" i="35"/>
  <c r="S72" i="35"/>
  <c r="N73" i="35"/>
  <c r="J74" i="35"/>
  <c r="R74" i="35"/>
  <c r="N75" i="35"/>
  <c r="I76" i="35"/>
  <c r="Q76" i="35"/>
  <c r="L77" i="35"/>
  <c r="T77" i="35"/>
  <c r="O78" i="35"/>
  <c r="K79" i="35"/>
  <c r="S79" i="35"/>
  <c r="O80" i="35"/>
  <c r="J81" i="35"/>
  <c r="R81" i="35"/>
  <c r="M82" i="35"/>
  <c r="P83" i="35"/>
  <c r="K84" i="35"/>
  <c r="S84" i="35"/>
  <c r="O85" i="35"/>
  <c r="K86" i="35"/>
  <c r="S86" i="35"/>
  <c r="N87" i="35"/>
  <c r="I88" i="35"/>
  <c r="Q88" i="35"/>
  <c r="L89" i="35"/>
  <c r="T89" i="35"/>
  <c r="O90" i="35"/>
  <c r="J91" i="35"/>
  <c r="T91" i="35"/>
  <c r="S92" i="35"/>
  <c r="R93" i="35"/>
  <c r="N95" i="35"/>
  <c r="T98" i="35"/>
  <c r="R100" i="35"/>
  <c r="O102" i="35"/>
  <c r="L104" i="35"/>
  <c r="J106" i="35"/>
  <c r="T107" i="35"/>
  <c r="P110" i="35"/>
  <c r="L113" i="35"/>
  <c r="T115" i="35"/>
  <c r="P118" i="35"/>
  <c r="L121" i="35"/>
  <c r="L126" i="35"/>
  <c r="L133" i="35"/>
  <c r="O142" i="35"/>
  <c r="I152" i="35"/>
  <c r="O161" i="35"/>
  <c r="K158" i="35"/>
  <c r="K154" i="35"/>
  <c r="K150" i="35"/>
  <c r="K146" i="35"/>
  <c r="K142" i="35"/>
  <c r="K138" i="35"/>
  <c r="K134" i="35"/>
  <c r="K160" i="35"/>
  <c r="K157" i="35"/>
  <c r="K147" i="35"/>
  <c r="K144" i="35"/>
  <c r="K141" i="35"/>
  <c r="K133" i="35"/>
  <c r="K129" i="35"/>
  <c r="K126" i="35"/>
  <c r="K125" i="35"/>
  <c r="K124" i="35"/>
  <c r="K123" i="35"/>
  <c r="K122" i="35"/>
  <c r="K121" i="35"/>
  <c r="K120" i="35"/>
  <c r="K119" i="35"/>
  <c r="K118" i="35"/>
  <c r="K117" i="35"/>
  <c r="K116" i="35"/>
  <c r="K115" i="35"/>
  <c r="K114" i="35"/>
  <c r="K113" i="35"/>
  <c r="K112" i="35"/>
  <c r="K111" i="35"/>
  <c r="K110" i="35"/>
  <c r="K109" i="35"/>
  <c r="K108" i="35"/>
  <c r="K161" i="35"/>
  <c r="K151" i="35"/>
  <c r="K148" i="35"/>
  <c r="K145" i="35"/>
  <c r="K135" i="35"/>
  <c r="K132" i="35"/>
  <c r="K128" i="35"/>
  <c r="K155" i="35"/>
  <c r="K152" i="35"/>
  <c r="K149" i="35"/>
  <c r="K139" i="35"/>
  <c r="K136" i="35"/>
  <c r="K131" i="35"/>
  <c r="K127" i="35"/>
  <c r="K143" i="35"/>
  <c r="K130" i="35"/>
  <c r="K106" i="35"/>
  <c r="K102" i="35"/>
  <c r="K98" i="35"/>
  <c r="K94" i="35"/>
  <c r="K156" i="35"/>
  <c r="K137" i="35"/>
  <c r="K104" i="35"/>
  <c r="K100" i="35"/>
  <c r="K96" i="35"/>
  <c r="K92" i="35"/>
  <c r="K88" i="35"/>
  <c r="K82" i="35"/>
  <c r="K76" i="35"/>
  <c r="K62" i="35"/>
  <c r="K61" i="35"/>
  <c r="K153" i="35"/>
  <c r="K107" i="35"/>
  <c r="K103" i="35"/>
  <c r="K99" i="35"/>
  <c r="K95" i="35"/>
  <c r="K91" i="35"/>
  <c r="K87" i="35"/>
  <c r="K81" i="35"/>
  <c r="K75" i="35"/>
  <c r="K74" i="35"/>
  <c r="K73" i="35"/>
  <c r="K39" i="35"/>
  <c r="K42" i="35"/>
  <c r="K43" i="35"/>
  <c r="K47" i="35"/>
  <c r="K56" i="35"/>
  <c r="N58" i="35"/>
  <c r="N72" i="35"/>
  <c r="N84" i="35"/>
  <c r="N99" i="35"/>
  <c r="N45" i="35"/>
  <c r="O48" i="35"/>
  <c r="N49" i="35"/>
  <c r="I50" i="35"/>
  <c r="I51" i="35"/>
  <c r="Q51" i="35"/>
  <c r="K53" i="35"/>
  <c r="O53" i="35"/>
  <c r="L62" i="35"/>
  <c r="O63" i="35"/>
  <c r="K64" i="35"/>
  <c r="O65" i="35"/>
  <c r="O67" i="35"/>
  <c r="K68" i="35"/>
  <c r="K69" i="35"/>
  <c r="O70" i="35"/>
  <c r="K71" i="35"/>
  <c r="N74" i="35"/>
  <c r="M76" i="35"/>
  <c r="K78" i="35"/>
  <c r="O79" i="35"/>
  <c r="K80" i="35"/>
  <c r="N81" i="35"/>
  <c r="I82" i="35"/>
  <c r="Q82" i="35"/>
  <c r="L83" i="35"/>
  <c r="O84" i="35"/>
  <c r="K85" i="35"/>
  <c r="O86" i="35"/>
  <c r="J87" i="35"/>
  <c r="R87" i="35"/>
  <c r="M88" i="35"/>
  <c r="K90" i="35"/>
  <c r="O91" i="35"/>
  <c r="N92" i="35"/>
  <c r="L93" i="35"/>
  <c r="O94" i="35"/>
  <c r="L96" i="35"/>
  <c r="J98" i="35"/>
  <c r="S99" i="35"/>
  <c r="P101" i="35"/>
  <c r="N103" i="35"/>
  <c r="K105" i="35"/>
  <c r="L109" i="35"/>
  <c r="P114" i="35"/>
  <c r="L117" i="35"/>
  <c r="P123" i="35"/>
  <c r="Q129" i="35"/>
  <c r="S137" i="35"/>
  <c r="L147" i="35"/>
  <c r="Q156" i="35"/>
  <c r="J10" i="35" l="1"/>
  <c r="J14" i="35"/>
  <c r="G84" i="3" l="1"/>
  <c r="G85" i="3"/>
  <c r="G86" i="3"/>
  <c r="G87" i="3"/>
  <c r="G88" i="3"/>
  <c r="G89" i="3"/>
  <c r="G90" i="3"/>
  <c r="G91" i="3"/>
  <c r="G92" i="3"/>
  <c r="G70" i="3"/>
  <c r="G71" i="3"/>
  <c r="G72" i="3"/>
  <c r="G73" i="3"/>
  <c r="G74" i="3"/>
  <c r="G75" i="3"/>
  <c r="G76" i="3"/>
  <c r="G77" i="3"/>
  <c r="G78" i="3"/>
  <c r="G56" i="3"/>
  <c r="G57" i="3"/>
  <c r="G58" i="3"/>
  <c r="G59" i="3"/>
  <c r="G60" i="3"/>
  <c r="G61" i="3"/>
  <c r="G62" i="3"/>
  <c r="G63" i="3"/>
  <c r="G64" i="3"/>
  <c r="BB38" i="3"/>
  <c r="G42" i="3"/>
  <c r="G43" i="3"/>
  <c r="G44" i="3"/>
  <c r="G45" i="3"/>
  <c r="G46" i="3"/>
  <c r="G47" i="3"/>
  <c r="G48" i="3"/>
  <c r="G49" i="3"/>
  <c r="G50" i="3"/>
  <c r="BB27" i="3"/>
  <c r="G28" i="3"/>
  <c r="BB28" i="3" s="1"/>
  <c r="G29" i="3"/>
  <c r="BB29" i="3" s="1"/>
  <c r="G30" i="3"/>
  <c r="G31" i="3"/>
  <c r="BB31" i="3" s="1"/>
  <c r="G32" i="3"/>
  <c r="G33" i="3"/>
  <c r="BB33" i="3" s="1"/>
  <c r="G34" i="3"/>
  <c r="BB34" i="3" s="1"/>
  <c r="G35" i="3"/>
  <c r="G36" i="3"/>
  <c r="BB36" i="3" s="1"/>
  <c r="BB11" i="3"/>
  <c r="G14" i="3"/>
  <c r="G15" i="3"/>
  <c r="BB15" i="3" s="1"/>
  <c r="G16" i="3"/>
  <c r="BB16" i="3" s="1"/>
  <c r="G17" i="3"/>
  <c r="BB17" i="3" s="1"/>
  <c r="G18" i="3"/>
  <c r="G19" i="3"/>
  <c r="BB19" i="3" s="1"/>
  <c r="G20" i="3"/>
  <c r="BB20" i="3" s="1"/>
  <c r="G21" i="3"/>
  <c r="BB21" i="3" s="1"/>
  <c r="G22" i="3"/>
  <c r="BB22" i="3" s="1"/>
  <c r="AV81" i="3"/>
  <c r="C81" i="3"/>
  <c r="C82" i="3" s="1"/>
  <c r="BB82" i="3" s="1"/>
  <c r="AV82" i="3"/>
  <c r="AV83" i="3"/>
  <c r="AV84" i="3"/>
  <c r="AV85" i="3"/>
  <c r="AV86" i="3"/>
  <c r="AV87" i="3"/>
  <c r="AV88" i="3"/>
  <c r="AV89" i="3"/>
  <c r="AV90" i="3"/>
  <c r="AV91" i="3"/>
  <c r="AV92" i="3"/>
  <c r="AV80" i="3"/>
  <c r="BC80" i="3" s="1"/>
  <c r="AV67" i="3"/>
  <c r="C67" i="3"/>
  <c r="AV68" i="3"/>
  <c r="AV69" i="3"/>
  <c r="AV70" i="3"/>
  <c r="AV71" i="3"/>
  <c r="AV72" i="3"/>
  <c r="AV73" i="3"/>
  <c r="AV74" i="3"/>
  <c r="AV75" i="3"/>
  <c r="AV76" i="3"/>
  <c r="AV77" i="3"/>
  <c r="AV78" i="3"/>
  <c r="AV66" i="3"/>
  <c r="AV53" i="3"/>
  <c r="C53" i="3"/>
  <c r="C54" i="3" s="1"/>
  <c r="AV54" i="3"/>
  <c r="AV55" i="3"/>
  <c r="AV56" i="3"/>
  <c r="AV57" i="3"/>
  <c r="AV58" i="3"/>
  <c r="AV59" i="3"/>
  <c r="AV60" i="3"/>
  <c r="AV61" i="3"/>
  <c r="AV62" i="3"/>
  <c r="AV63" i="3"/>
  <c r="AV64" i="3"/>
  <c r="AV52" i="3"/>
  <c r="BC52" i="3" s="1"/>
  <c r="AV39" i="3"/>
  <c r="AV40" i="3"/>
  <c r="C40" i="3"/>
  <c r="BC40" i="3" s="1"/>
  <c r="AV41" i="3"/>
  <c r="AV42" i="3"/>
  <c r="AV43" i="3"/>
  <c r="AV44" i="3"/>
  <c r="AV45" i="3"/>
  <c r="AV46" i="3"/>
  <c r="AV47" i="3"/>
  <c r="AV48" i="3"/>
  <c r="AV49" i="3"/>
  <c r="AV50" i="3"/>
  <c r="AV38" i="3"/>
  <c r="AV25" i="3"/>
  <c r="BC25" i="3" s="1"/>
  <c r="AV26" i="3"/>
  <c r="BC26" i="3" s="1"/>
  <c r="AV27" i="3"/>
  <c r="AV28" i="3"/>
  <c r="AV29" i="3"/>
  <c r="AV30" i="3"/>
  <c r="AV31" i="3"/>
  <c r="AV32" i="3"/>
  <c r="BC32" i="3" s="1"/>
  <c r="AV33" i="3"/>
  <c r="AV34" i="3"/>
  <c r="AV35" i="3"/>
  <c r="AV36" i="3"/>
  <c r="AV24" i="3"/>
  <c r="BC24" i="3" s="1"/>
  <c r="AV11" i="3"/>
  <c r="AV12" i="3"/>
  <c r="AV13" i="3"/>
  <c r="BC13" i="3" s="1"/>
  <c r="AV14" i="3"/>
  <c r="BC14" i="3" s="1"/>
  <c r="AV15" i="3"/>
  <c r="AV16" i="3"/>
  <c r="AV17" i="3"/>
  <c r="AV18" i="3"/>
  <c r="AV19" i="3"/>
  <c r="AV20" i="3"/>
  <c r="AV21" i="3"/>
  <c r="AV22" i="3"/>
  <c r="AV10" i="3"/>
  <c r="BC10" i="3" s="1"/>
  <c r="F23" i="3"/>
  <c r="P16" i="9" s="1"/>
  <c r="AS23" i="3"/>
  <c r="P15" i="9" s="1"/>
  <c r="AE23" i="3"/>
  <c r="P13" i="9" s="1"/>
  <c r="X23" i="3"/>
  <c r="P12" i="9" s="1"/>
  <c r="Q23" i="3"/>
  <c r="P11" i="9" s="1"/>
  <c r="J23" i="3"/>
  <c r="P10" i="9" s="1"/>
  <c r="AL23" i="3"/>
  <c r="P14" i="9" s="1"/>
  <c r="F37" i="3"/>
  <c r="Q16" i="9" s="1"/>
  <c r="AS37" i="3"/>
  <c r="AE37" i="3"/>
  <c r="X37" i="3"/>
  <c r="Q37" i="3"/>
  <c r="J37" i="3"/>
  <c r="AL37" i="3"/>
  <c r="F51" i="3"/>
  <c r="AS51" i="3"/>
  <c r="AE51" i="3"/>
  <c r="R13" i="9" s="1"/>
  <c r="X51" i="3"/>
  <c r="R12" i="9" s="1"/>
  <c r="Q51" i="3"/>
  <c r="R11" i="9" s="1"/>
  <c r="J51" i="3"/>
  <c r="R10" i="9" s="1"/>
  <c r="AL51" i="3"/>
  <c r="R14" i="9" s="1"/>
  <c r="F65" i="3"/>
  <c r="S16" i="9" s="1"/>
  <c r="AS65" i="3"/>
  <c r="AE65" i="3"/>
  <c r="S13" i="9" s="1"/>
  <c r="X65" i="3"/>
  <c r="S12" i="9" s="1"/>
  <c r="Q65" i="3"/>
  <c r="S11" i="9" s="1"/>
  <c r="J65" i="3"/>
  <c r="S10" i="9" s="1"/>
  <c r="AL65" i="3"/>
  <c r="S14" i="9" s="1"/>
  <c r="F79" i="3"/>
  <c r="T16" i="9" s="1"/>
  <c r="AS79" i="3"/>
  <c r="AE79" i="3"/>
  <c r="T13" i="9" s="1"/>
  <c r="X79" i="3"/>
  <c r="Q79" i="3"/>
  <c r="T11" i="9" s="1"/>
  <c r="J79" i="3"/>
  <c r="T10" i="9" s="1"/>
  <c r="AL79" i="3"/>
  <c r="T14" i="9" s="1"/>
  <c r="F93" i="3"/>
  <c r="U16" i="9" s="1"/>
  <c r="AS93" i="3"/>
  <c r="U15" i="9" s="1"/>
  <c r="AE93" i="3"/>
  <c r="U13" i="9" s="1"/>
  <c r="X93" i="3"/>
  <c r="U12" i="9" s="1"/>
  <c r="Q93" i="3"/>
  <c r="U11" i="9" s="1"/>
  <c r="J93" i="3"/>
  <c r="U10" i="9" s="1"/>
  <c r="AL93" i="3"/>
  <c r="U14" i="9" s="1"/>
  <c r="H37" i="3"/>
  <c r="H51" i="3"/>
  <c r="H65" i="3"/>
  <c r="H79" i="3"/>
  <c r="H93" i="3"/>
  <c r="H23" i="3"/>
  <c r="K37" i="3"/>
  <c r="K51" i="3"/>
  <c r="K65" i="3"/>
  <c r="K79" i="3"/>
  <c r="K93" i="3"/>
  <c r="K23" i="3"/>
  <c r="R37" i="3"/>
  <c r="R51" i="3"/>
  <c r="R65" i="3"/>
  <c r="R79" i="3"/>
  <c r="R93" i="3"/>
  <c r="R23" i="3"/>
  <c r="Y37" i="3"/>
  <c r="Y51" i="3"/>
  <c r="Y65" i="3"/>
  <c r="Y79" i="3"/>
  <c r="Y93" i="3"/>
  <c r="Y23" i="3"/>
  <c r="AF37" i="3"/>
  <c r="AF51" i="3"/>
  <c r="AF65" i="3"/>
  <c r="AF79" i="3"/>
  <c r="AF93" i="3"/>
  <c r="AF23" i="3"/>
  <c r="AM37" i="3"/>
  <c r="AM51" i="3"/>
  <c r="AM65" i="3"/>
  <c r="AM79" i="3"/>
  <c r="AM93" i="3"/>
  <c r="AM23" i="3"/>
  <c r="AT37" i="3"/>
  <c r="AT51" i="3"/>
  <c r="AT65" i="3"/>
  <c r="AT79" i="3"/>
  <c r="AT93" i="3"/>
  <c r="AT23" i="3"/>
  <c r="B3" i="12"/>
  <c r="AT5" i="12" s="1"/>
  <c r="AT16" i="12" s="1"/>
  <c r="AT21" i="12" s="1"/>
  <c r="AT34" i="12" s="1"/>
  <c r="BB25" i="3"/>
  <c r="BB26" i="3"/>
  <c r="BB30" i="3"/>
  <c r="BB32" i="3"/>
  <c r="BB39" i="3"/>
  <c r="BB52" i="3"/>
  <c r="BB66" i="3"/>
  <c r="BB80" i="3"/>
  <c r="BB10" i="3"/>
  <c r="BB12" i="3"/>
  <c r="BB13" i="3"/>
  <c r="BB14" i="3"/>
  <c r="BB18" i="3"/>
  <c r="G56" i="8"/>
  <c r="G64" i="11" s="1"/>
  <c r="G57" i="8"/>
  <c r="G65" i="11" s="1"/>
  <c r="R28" i="1"/>
  <c r="G59" i="8"/>
  <c r="G67" i="11" s="1"/>
  <c r="G60" i="8"/>
  <c r="G68" i="11" s="1"/>
  <c r="G50" i="8"/>
  <c r="G51" i="8"/>
  <c r="G59" i="11" s="1"/>
  <c r="G52" i="8"/>
  <c r="G60" i="11" s="1"/>
  <c r="G53" i="8"/>
  <c r="G61" i="11" s="1"/>
  <c r="G42" i="8"/>
  <c r="G50" i="11" s="1"/>
  <c r="G43" i="8"/>
  <c r="G51" i="11" s="1"/>
  <c r="G44" i="8"/>
  <c r="G52" i="11" s="1"/>
  <c r="G45" i="8"/>
  <c r="G53" i="11" s="1"/>
  <c r="G46" i="8"/>
  <c r="G54" i="11" s="1"/>
  <c r="G47" i="8"/>
  <c r="G55" i="11" s="1"/>
  <c r="G48" i="8"/>
  <c r="G56" i="11" s="1"/>
  <c r="G30" i="8"/>
  <c r="G38" i="11" s="1"/>
  <c r="G31" i="8"/>
  <c r="G39" i="11" s="1"/>
  <c r="G32" i="8"/>
  <c r="G33" i="8"/>
  <c r="G41" i="11" s="1"/>
  <c r="G34" i="8"/>
  <c r="G42" i="11" s="1"/>
  <c r="G35" i="8"/>
  <c r="G43" i="11" s="1"/>
  <c r="G36" i="8"/>
  <c r="G44" i="11" s="1"/>
  <c r="G37" i="8"/>
  <c r="G45" i="11" s="1"/>
  <c r="G38" i="8"/>
  <c r="G46" i="11" s="1"/>
  <c r="G39" i="8"/>
  <c r="G47" i="11" s="1"/>
  <c r="G40" i="8"/>
  <c r="G48" i="11" s="1"/>
  <c r="G25" i="8"/>
  <c r="G33" i="11" s="1"/>
  <c r="G26" i="8"/>
  <c r="G34" i="11" s="1"/>
  <c r="G27" i="8"/>
  <c r="G35" i="11" s="1"/>
  <c r="G28" i="8"/>
  <c r="G19" i="8"/>
  <c r="G27" i="11" s="1"/>
  <c r="G20" i="8"/>
  <c r="G28" i="11" s="1"/>
  <c r="G21" i="8"/>
  <c r="G29" i="11" s="1"/>
  <c r="G22" i="8"/>
  <c r="G30" i="11" s="1"/>
  <c r="G23" i="8"/>
  <c r="G31" i="11" s="1"/>
  <c r="G102" i="3"/>
  <c r="F103" i="3"/>
  <c r="E117" i="3"/>
  <c r="G117" i="3" s="1"/>
  <c r="F118" i="3"/>
  <c r="F119" i="3" s="1"/>
  <c r="E118" i="3"/>
  <c r="E119" i="3"/>
  <c r="E120" i="3"/>
  <c r="E121" i="3"/>
  <c r="E122" i="3"/>
  <c r="E123" i="3"/>
  <c r="E124" i="3"/>
  <c r="E125" i="3"/>
  <c r="E126" i="3"/>
  <c r="E127" i="3"/>
  <c r="G15" i="8"/>
  <c r="G23" i="11" s="1"/>
  <c r="G16" i="8"/>
  <c r="G24" i="11" s="1"/>
  <c r="G17" i="8"/>
  <c r="G25" i="11" s="1"/>
  <c r="G4" i="8"/>
  <c r="G12" i="11" s="1"/>
  <c r="G5" i="8"/>
  <c r="G6" i="8"/>
  <c r="G14" i="11" s="1"/>
  <c r="G7" i="8"/>
  <c r="G15" i="11" s="1"/>
  <c r="G8" i="8"/>
  <c r="G16" i="11" s="1"/>
  <c r="G9" i="8"/>
  <c r="G17" i="11" s="1"/>
  <c r="G10" i="8"/>
  <c r="G18" i="11" s="1"/>
  <c r="G11" i="8"/>
  <c r="G19" i="11" s="1"/>
  <c r="G12" i="8"/>
  <c r="G20" i="11" s="1"/>
  <c r="J82" i="2"/>
  <c r="K85" i="2"/>
  <c r="C85" i="5"/>
  <c r="E85" i="5" s="1"/>
  <c r="J88" i="2"/>
  <c r="K89" i="2"/>
  <c r="C88" i="5"/>
  <c r="E88" i="5" s="1"/>
  <c r="J91" i="2"/>
  <c r="J92" i="2"/>
  <c r="K93" i="2"/>
  <c r="C92" i="5"/>
  <c r="E92" i="5" s="1"/>
  <c r="C94" i="5"/>
  <c r="E94" i="5" s="1"/>
  <c r="B70" i="12"/>
  <c r="B71" i="12" s="1"/>
  <c r="B72" i="12" s="1"/>
  <c r="B74" i="12" s="1"/>
  <c r="K23" i="1" s="1"/>
  <c r="C14" i="12"/>
  <c r="C73" i="12"/>
  <c r="B76" i="12"/>
  <c r="C76" i="12" s="1"/>
  <c r="D76" i="12" s="1"/>
  <c r="E76" i="12" s="1"/>
  <c r="F76" i="12" s="1"/>
  <c r="G76" i="12" s="1"/>
  <c r="H76" i="12" s="1"/>
  <c r="I76" i="12" s="1"/>
  <c r="J76" i="12" s="1"/>
  <c r="K76" i="12" s="1"/>
  <c r="L76" i="12" s="1"/>
  <c r="M76" i="12" s="1"/>
  <c r="N76" i="12" s="1"/>
  <c r="O76" i="12" s="1"/>
  <c r="P76" i="12" s="1"/>
  <c r="J57" i="7"/>
  <c r="I121" i="2"/>
  <c r="I123" i="2"/>
  <c r="I125" i="2"/>
  <c r="R125" i="2" s="1"/>
  <c r="I126" i="2"/>
  <c r="M126" i="2" s="1"/>
  <c r="J109" i="2"/>
  <c r="I110" i="2"/>
  <c r="R110" i="2" s="1"/>
  <c r="I111" i="2"/>
  <c r="C110" i="5"/>
  <c r="D110" i="5" s="1"/>
  <c r="K104" i="2"/>
  <c r="K105" i="2"/>
  <c r="J106" i="2"/>
  <c r="K107" i="2"/>
  <c r="C97" i="5"/>
  <c r="D97" i="5" s="1"/>
  <c r="E97" i="5" s="1"/>
  <c r="C98" i="5"/>
  <c r="D98" i="5" s="1"/>
  <c r="E98" i="5" s="1"/>
  <c r="K101" i="2"/>
  <c r="J102" i="2"/>
  <c r="I59" i="2"/>
  <c r="M59" i="2" s="1"/>
  <c r="K60" i="2"/>
  <c r="I61" i="2"/>
  <c r="R61" i="2" s="1"/>
  <c r="C61" i="5"/>
  <c r="D61" i="5" s="1"/>
  <c r="E61" i="5" s="1"/>
  <c r="J64" i="2"/>
  <c r="I65" i="2"/>
  <c r="R65" i="2" s="1"/>
  <c r="C64" i="5"/>
  <c r="D64" i="5" s="1"/>
  <c r="E64" i="5" s="1"/>
  <c r="I68" i="2"/>
  <c r="J24" i="37"/>
  <c r="J25" i="37"/>
  <c r="C69" i="5"/>
  <c r="E69" i="5" s="1"/>
  <c r="J72" i="2"/>
  <c r="I73" i="2"/>
  <c r="C72" i="5"/>
  <c r="J75" i="2"/>
  <c r="J76" i="2"/>
  <c r="I77" i="2"/>
  <c r="C76" i="5"/>
  <c r="D76" i="5" s="1"/>
  <c r="I79" i="2"/>
  <c r="D48" i="2"/>
  <c r="J48" i="2" s="1"/>
  <c r="D49" i="2"/>
  <c r="I49" i="2" s="1"/>
  <c r="K50" i="2"/>
  <c r="D51" i="2"/>
  <c r="C53" i="5" s="1"/>
  <c r="E53" i="5" s="1"/>
  <c r="D52" i="2"/>
  <c r="I52" i="2" s="1"/>
  <c r="D53" i="2"/>
  <c r="C55" i="5" s="1"/>
  <c r="E55" i="5" s="1"/>
  <c r="D40" i="2"/>
  <c r="D41" i="2"/>
  <c r="D43" i="2"/>
  <c r="I43" i="2" s="1"/>
  <c r="D44" i="2"/>
  <c r="I44" i="2" s="1"/>
  <c r="M44" i="2" s="1"/>
  <c r="D45" i="2"/>
  <c r="D32" i="2"/>
  <c r="D33" i="2"/>
  <c r="I33" i="2" s="1"/>
  <c r="D34" i="2"/>
  <c r="J34" i="2" s="1"/>
  <c r="D35" i="2"/>
  <c r="D36" i="2"/>
  <c r="I36" i="2" s="1"/>
  <c r="R36" i="2" s="1"/>
  <c r="D37" i="2"/>
  <c r="I37" i="2" s="1"/>
  <c r="D20" i="2"/>
  <c r="V16" i="39" s="1"/>
  <c r="D21" i="2"/>
  <c r="D22" i="2"/>
  <c r="K22" i="2" s="1"/>
  <c r="D23" i="2"/>
  <c r="I23" i="2" s="1"/>
  <c r="R23" i="2" s="1"/>
  <c r="D24" i="2"/>
  <c r="I24" i="2" s="1"/>
  <c r="R24" i="2" s="1"/>
  <c r="J26" i="2"/>
  <c r="D27" i="2"/>
  <c r="I27" i="2" s="1"/>
  <c r="R27" i="2" s="1"/>
  <c r="D28" i="2"/>
  <c r="I28" i="2" s="1"/>
  <c r="D29" i="2"/>
  <c r="J29" i="2" s="1"/>
  <c r="D14" i="2"/>
  <c r="D15" i="2"/>
  <c r="J15" i="2" s="1"/>
  <c r="D3" i="2"/>
  <c r="J3" i="2" s="1"/>
  <c r="D4" i="2"/>
  <c r="D6" i="2"/>
  <c r="J6" i="2" s="1"/>
  <c r="D7" i="2"/>
  <c r="D8" i="2"/>
  <c r="J8" i="2" s="1"/>
  <c r="D9" i="2"/>
  <c r="I9" i="2" s="1"/>
  <c r="D10" i="2"/>
  <c r="C11" i="5" s="1"/>
  <c r="D11" i="5" s="1"/>
  <c r="D11" i="2"/>
  <c r="J128" i="2"/>
  <c r="C127" i="5"/>
  <c r="E127" i="5" s="1"/>
  <c r="I130" i="2"/>
  <c r="M130" i="2" s="1"/>
  <c r="I115" i="2"/>
  <c r="R115" i="2" s="1"/>
  <c r="J116" i="2"/>
  <c r="I117" i="2"/>
  <c r="R117" i="2" s="1"/>
  <c r="K118" i="2"/>
  <c r="B47" i="12"/>
  <c r="B38" i="12"/>
  <c r="B39" i="12" s="1"/>
  <c r="E53" i="9"/>
  <c r="C21" i="7"/>
  <c r="E51" i="9"/>
  <c r="E50" i="9"/>
  <c r="E49" i="9"/>
  <c r="E46" i="9"/>
  <c r="E45" i="9"/>
  <c r="I2" i="7"/>
  <c r="E96" i="7"/>
  <c r="G96" i="7" s="1"/>
  <c r="I97" i="7"/>
  <c r="I98" i="7"/>
  <c r="I99" i="7"/>
  <c r="I100" i="7"/>
  <c r="I101" i="7"/>
  <c r="I102" i="7"/>
  <c r="I103" i="7"/>
  <c r="I104" i="7"/>
  <c r="I105" i="7"/>
  <c r="I106" i="7"/>
  <c r="I107" i="7"/>
  <c r="D84" i="2"/>
  <c r="F47" i="39" s="1"/>
  <c r="G47" i="39" s="1"/>
  <c r="I51" i="7"/>
  <c r="J51" i="7" s="1"/>
  <c r="K51" i="7" s="1"/>
  <c r="D51" i="7"/>
  <c r="I52" i="7"/>
  <c r="D52" i="7"/>
  <c r="I53" i="7"/>
  <c r="D53" i="7"/>
  <c r="I54" i="7"/>
  <c r="D54" i="7"/>
  <c r="J55" i="7"/>
  <c r="P55" i="7" s="1"/>
  <c r="J56" i="7"/>
  <c r="J58" i="7"/>
  <c r="J59" i="7"/>
  <c r="J61" i="7"/>
  <c r="K61" i="7" s="1"/>
  <c r="A1" i="7"/>
  <c r="G2" i="7" s="1"/>
  <c r="D56" i="1"/>
  <c r="D55" i="1"/>
  <c r="P132" i="2"/>
  <c r="P127" i="2"/>
  <c r="P119" i="2"/>
  <c r="P113" i="2"/>
  <c r="P108" i="2"/>
  <c r="P103" i="2"/>
  <c r="O103" i="2"/>
  <c r="P97" i="2"/>
  <c r="O97" i="2"/>
  <c r="O80" i="2"/>
  <c r="P80" i="2"/>
  <c r="E107" i="7"/>
  <c r="F107" i="7"/>
  <c r="G107" i="7" s="1"/>
  <c r="E106" i="7"/>
  <c r="F106" i="7"/>
  <c r="G106" i="7" s="1"/>
  <c r="E105" i="7"/>
  <c r="F105" i="7" s="1"/>
  <c r="G105" i="7" s="1"/>
  <c r="E104" i="7"/>
  <c r="F104" i="7" s="1"/>
  <c r="G104" i="7" s="1"/>
  <c r="E103" i="7"/>
  <c r="F103" i="7"/>
  <c r="G103" i="7" s="1"/>
  <c r="E102" i="7"/>
  <c r="F102" i="7"/>
  <c r="G102" i="7" s="1"/>
  <c r="E101" i="7"/>
  <c r="F101" i="7" s="1"/>
  <c r="E100" i="7"/>
  <c r="F100" i="7" s="1"/>
  <c r="E99" i="7"/>
  <c r="F99" i="7" s="1"/>
  <c r="G99" i="7" s="1"/>
  <c r="E98" i="7"/>
  <c r="F98" i="7" s="1"/>
  <c r="G98" i="7" s="1"/>
  <c r="E97" i="7"/>
  <c r="D113" i="3"/>
  <c r="G4" i="11" s="1"/>
  <c r="H4" i="11" s="1"/>
  <c r="I8" i="11" s="1"/>
  <c r="C59" i="7"/>
  <c r="P59" i="7" s="1"/>
  <c r="C58" i="7"/>
  <c r="P58" i="7" s="1"/>
  <c r="C57" i="7"/>
  <c r="E123" i="7" s="1"/>
  <c r="C56" i="7"/>
  <c r="P56" i="7" s="1"/>
  <c r="C55" i="7"/>
  <c r="F101" i="6"/>
  <c r="B50" i="7"/>
  <c r="F102" i="6"/>
  <c r="M10" i="7"/>
  <c r="C63" i="7"/>
  <c r="Q63" i="7" s="1"/>
  <c r="C60" i="7"/>
  <c r="P60" i="7" s="1"/>
  <c r="D56" i="7"/>
  <c r="I101" i="3" s="1"/>
  <c r="J101" i="3" s="1"/>
  <c r="R16" i="1"/>
  <c r="J59" i="8"/>
  <c r="C67" i="11" s="1"/>
  <c r="J55" i="8"/>
  <c r="C63" i="11" s="1"/>
  <c r="J56" i="8"/>
  <c r="C64" i="11" s="1"/>
  <c r="J57" i="8"/>
  <c r="C65" i="11" s="1"/>
  <c r="J50" i="8"/>
  <c r="C58" i="11" s="1"/>
  <c r="J51" i="8"/>
  <c r="C59" i="11" s="1"/>
  <c r="J52" i="8"/>
  <c r="C60" i="11" s="1"/>
  <c r="J53" i="8"/>
  <c r="C61" i="11" s="1"/>
  <c r="J42" i="8"/>
  <c r="C50" i="11" s="1"/>
  <c r="J43" i="8"/>
  <c r="C51" i="11" s="1"/>
  <c r="J44" i="8"/>
  <c r="C52" i="11" s="1"/>
  <c r="J45" i="8"/>
  <c r="C53" i="11" s="1"/>
  <c r="J46" i="8"/>
  <c r="C54" i="11" s="1"/>
  <c r="J47" i="8"/>
  <c r="C55" i="11" s="1"/>
  <c r="J48" i="8"/>
  <c r="C56" i="11" s="1"/>
  <c r="J30" i="8"/>
  <c r="C38" i="11" s="1"/>
  <c r="J31" i="8"/>
  <c r="C39" i="11" s="1"/>
  <c r="J32" i="8"/>
  <c r="C40" i="11" s="1"/>
  <c r="J33" i="8"/>
  <c r="C41" i="11" s="1"/>
  <c r="J34" i="8"/>
  <c r="C42" i="11" s="1"/>
  <c r="J35" i="8"/>
  <c r="C43" i="11" s="1"/>
  <c r="J36" i="8"/>
  <c r="C44" i="11" s="1"/>
  <c r="J37" i="8"/>
  <c r="C45" i="11" s="1"/>
  <c r="J38" i="8"/>
  <c r="C46" i="11" s="1"/>
  <c r="J39" i="8"/>
  <c r="C47" i="11" s="1"/>
  <c r="J40" i="8"/>
  <c r="C48" i="11" s="1"/>
  <c r="J25" i="8"/>
  <c r="C33" i="11" s="1"/>
  <c r="J26" i="8"/>
  <c r="C34" i="11" s="1"/>
  <c r="J27" i="8"/>
  <c r="C35" i="11" s="1"/>
  <c r="J28" i="8"/>
  <c r="C36" i="11" s="1"/>
  <c r="J19" i="8"/>
  <c r="C27" i="11" s="1"/>
  <c r="J20" i="8"/>
  <c r="C28" i="11" s="1"/>
  <c r="J21" i="8"/>
  <c r="C29" i="11" s="1"/>
  <c r="J22" i="8"/>
  <c r="C30" i="11" s="1"/>
  <c r="J23" i="8"/>
  <c r="C31" i="11" s="1"/>
  <c r="C22" i="11"/>
  <c r="J15" i="8"/>
  <c r="C23" i="11" s="1"/>
  <c r="J16" i="8"/>
  <c r="C24" i="11" s="1"/>
  <c r="J17" i="8"/>
  <c r="C25" i="11" s="1"/>
  <c r="J4" i="8"/>
  <c r="C12" i="11" s="1"/>
  <c r="J5" i="8"/>
  <c r="C13" i="11" s="1"/>
  <c r="J6" i="8"/>
  <c r="C14" i="11" s="1"/>
  <c r="J7" i="8"/>
  <c r="C15" i="11" s="1"/>
  <c r="J8" i="8"/>
  <c r="C16" i="11" s="1"/>
  <c r="J9" i="8"/>
  <c r="C17" i="11" s="1"/>
  <c r="J10" i="8"/>
  <c r="C18" i="11" s="1"/>
  <c r="J12" i="8"/>
  <c r="C20" i="11" s="1"/>
  <c r="J11" i="8"/>
  <c r="C19" i="11" s="1"/>
  <c r="W86" i="1"/>
  <c r="W87" i="1"/>
  <c r="E3" i="11"/>
  <c r="E6" i="11" s="1"/>
  <c r="D38" i="30" s="1"/>
  <c r="D40" i="30" s="1"/>
  <c r="D6" i="11"/>
  <c r="C38" i="30" s="1"/>
  <c r="C40" i="30" s="1"/>
  <c r="C50" i="7"/>
  <c r="P50" i="7" s="1"/>
  <c r="C51" i="7"/>
  <c r="P51" i="7" s="1"/>
  <c r="C52" i="7"/>
  <c r="P52" i="7" s="1"/>
  <c r="C53" i="7"/>
  <c r="P53" i="7" s="1"/>
  <c r="C54" i="7"/>
  <c r="P54" i="7" s="1"/>
  <c r="C61" i="7"/>
  <c r="P61" i="7" s="1"/>
  <c r="C64" i="7"/>
  <c r="P64" i="7" s="1"/>
  <c r="C65" i="7"/>
  <c r="C66" i="7"/>
  <c r="P66" i="7" s="1"/>
  <c r="C68" i="7"/>
  <c r="Q68" i="7" s="1"/>
  <c r="C69" i="7"/>
  <c r="P69" i="7" s="1"/>
  <c r="D30" i="6"/>
  <c r="G30" i="6" s="1"/>
  <c r="H30" i="6" s="1"/>
  <c r="I30" i="6" s="1"/>
  <c r="D17" i="6"/>
  <c r="G17" i="6" s="1"/>
  <c r="H17" i="6" s="1"/>
  <c r="I17" i="6" s="1"/>
  <c r="D18" i="6"/>
  <c r="G18" i="6" s="1"/>
  <c r="H18" i="6" s="1"/>
  <c r="I18" i="6" s="1"/>
  <c r="D19" i="6"/>
  <c r="G19" i="6" s="1"/>
  <c r="H19" i="6" s="1"/>
  <c r="I19" i="6" s="1"/>
  <c r="D20" i="6"/>
  <c r="G20" i="6" s="1"/>
  <c r="H20" i="6" s="1"/>
  <c r="I20" i="6" s="1"/>
  <c r="D21" i="6"/>
  <c r="G21" i="6" s="1"/>
  <c r="H21" i="6" s="1"/>
  <c r="I21" i="6" s="1"/>
  <c r="D22" i="6"/>
  <c r="G22" i="6" s="1"/>
  <c r="H22" i="6" s="1"/>
  <c r="I22" i="6" s="1"/>
  <c r="D23" i="6"/>
  <c r="G23" i="6" s="1"/>
  <c r="H23" i="6" s="1"/>
  <c r="I23" i="6" s="1"/>
  <c r="D24" i="6"/>
  <c r="G24" i="6" s="1"/>
  <c r="H24" i="6" s="1"/>
  <c r="I24" i="6" s="1"/>
  <c r="D25" i="6"/>
  <c r="G25" i="6" s="1"/>
  <c r="H25" i="6" s="1"/>
  <c r="I25" i="6" s="1"/>
  <c r="D26" i="6"/>
  <c r="G26" i="6" s="1"/>
  <c r="H26" i="6" s="1"/>
  <c r="I26" i="6" s="1"/>
  <c r="D27" i="6"/>
  <c r="G27" i="6" s="1"/>
  <c r="H27" i="6" s="1"/>
  <c r="I27" i="6" s="1"/>
  <c r="D28" i="6"/>
  <c r="G28" i="6" s="1"/>
  <c r="H28" i="6" s="1"/>
  <c r="I28" i="6" s="1"/>
  <c r="D29" i="6"/>
  <c r="G29" i="6" s="1"/>
  <c r="H29" i="6" s="1"/>
  <c r="I29" i="6" s="1"/>
  <c r="D31" i="6"/>
  <c r="G31" i="6" s="1"/>
  <c r="H31" i="6" s="1"/>
  <c r="I31" i="6" s="1"/>
  <c r="D32" i="6"/>
  <c r="G32" i="6" s="1"/>
  <c r="H32" i="6" s="1"/>
  <c r="I32" i="6" s="1"/>
  <c r="D33" i="6"/>
  <c r="G33" i="6" s="1"/>
  <c r="H33" i="6" s="1"/>
  <c r="I33" i="6" s="1"/>
  <c r="D34" i="6"/>
  <c r="G34" i="6" s="1"/>
  <c r="H34" i="6" s="1"/>
  <c r="I34" i="6" s="1"/>
  <c r="D35" i="6"/>
  <c r="G35" i="6" s="1"/>
  <c r="H35" i="6" s="1"/>
  <c r="I35" i="6" s="1"/>
  <c r="D36" i="6"/>
  <c r="G36" i="6" s="1"/>
  <c r="H36" i="6" s="1"/>
  <c r="I36" i="6" s="1"/>
  <c r="D37" i="6"/>
  <c r="G37" i="6" s="1"/>
  <c r="H37" i="6" s="1"/>
  <c r="I37" i="6" s="1"/>
  <c r="D38" i="6"/>
  <c r="G38" i="6" s="1"/>
  <c r="H38" i="6" s="1"/>
  <c r="I38" i="6" s="1"/>
  <c r="D39" i="6"/>
  <c r="G39" i="6" s="1"/>
  <c r="H39" i="6" s="1"/>
  <c r="I39" i="6" s="1"/>
  <c r="D40" i="6"/>
  <c r="G40" i="6" s="1"/>
  <c r="H40" i="6" s="1"/>
  <c r="I40" i="6" s="1"/>
  <c r="D41" i="6"/>
  <c r="G41" i="6" s="1"/>
  <c r="H41" i="6" s="1"/>
  <c r="I41" i="6" s="1"/>
  <c r="D42" i="6"/>
  <c r="G42" i="6" s="1"/>
  <c r="H42" i="6" s="1"/>
  <c r="I42" i="6" s="1"/>
  <c r="D43" i="6"/>
  <c r="G43" i="6" s="1"/>
  <c r="H43" i="6" s="1"/>
  <c r="I43" i="6" s="1"/>
  <c r="D44" i="6"/>
  <c r="G44" i="6" s="1"/>
  <c r="H44" i="6" s="1"/>
  <c r="I44" i="6" s="1"/>
  <c r="D45" i="6"/>
  <c r="G45" i="6" s="1"/>
  <c r="H45" i="6" s="1"/>
  <c r="I45" i="6" s="1"/>
  <c r="D46" i="6"/>
  <c r="G46" i="6" s="1"/>
  <c r="H46" i="6" s="1"/>
  <c r="I46" i="6" s="1"/>
  <c r="D47" i="6"/>
  <c r="G47" i="6" s="1"/>
  <c r="H47" i="6" s="1"/>
  <c r="I47" i="6" s="1"/>
  <c r="D48" i="6"/>
  <c r="G48" i="6" s="1"/>
  <c r="H48" i="6" s="1"/>
  <c r="I48" i="6" s="1"/>
  <c r="D49" i="6"/>
  <c r="G49" i="6" s="1"/>
  <c r="H49" i="6" s="1"/>
  <c r="I49" i="6" s="1"/>
  <c r="D50" i="6"/>
  <c r="G50" i="6" s="1"/>
  <c r="H50" i="6" s="1"/>
  <c r="I50" i="6" s="1"/>
  <c r="D51" i="6"/>
  <c r="G51" i="6" s="1"/>
  <c r="H51" i="6" s="1"/>
  <c r="I51" i="6" s="1"/>
  <c r="D52" i="6"/>
  <c r="G52" i="6" s="1"/>
  <c r="H52" i="6" s="1"/>
  <c r="I52" i="6" s="1"/>
  <c r="D53" i="6"/>
  <c r="G53" i="6" s="1"/>
  <c r="H53" i="6" s="1"/>
  <c r="I53" i="6" s="1"/>
  <c r="D54" i="6"/>
  <c r="G54" i="6" s="1"/>
  <c r="H54" i="6" s="1"/>
  <c r="I54" i="6" s="1"/>
  <c r="D55" i="6"/>
  <c r="G55" i="6" s="1"/>
  <c r="H55" i="6" s="1"/>
  <c r="I55" i="6" s="1"/>
  <c r="D56" i="6"/>
  <c r="G56" i="6" s="1"/>
  <c r="H56" i="6" s="1"/>
  <c r="I56" i="6" s="1"/>
  <c r="D57" i="6"/>
  <c r="G57" i="6" s="1"/>
  <c r="H57" i="6" s="1"/>
  <c r="I57" i="6" s="1"/>
  <c r="D58" i="6"/>
  <c r="G58" i="6" s="1"/>
  <c r="H58" i="6" s="1"/>
  <c r="I58" i="6" s="1"/>
  <c r="D59" i="6"/>
  <c r="G59" i="6" s="1"/>
  <c r="H59" i="6" s="1"/>
  <c r="I59" i="6" s="1"/>
  <c r="D60" i="6"/>
  <c r="G60" i="6" s="1"/>
  <c r="H60" i="6" s="1"/>
  <c r="I60" i="6" s="1"/>
  <c r="D61" i="6"/>
  <c r="G61" i="6" s="1"/>
  <c r="H61" i="6" s="1"/>
  <c r="I61" i="6" s="1"/>
  <c r="D62" i="6"/>
  <c r="G62" i="6" s="1"/>
  <c r="H62" i="6" s="1"/>
  <c r="I62" i="6" s="1"/>
  <c r="D63" i="6"/>
  <c r="G63" i="6" s="1"/>
  <c r="H63" i="6" s="1"/>
  <c r="I63" i="6" s="1"/>
  <c r="D64" i="6"/>
  <c r="G64" i="6" s="1"/>
  <c r="H64" i="6" s="1"/>
  <c r="I64" i="6" s="1"/>
  <c r="D65" i="6"/>
  <c r="G65" i="6" s="1"/>
  <c r="H65" i="6" s="1"/>
  <c r="I65" i="6" s="1"/>
  <c r="D66" i="6"/>
  <c r="G66" i="6" s="1"/>
  <c r="H66" i="6" s="1"/>
  <c r="I66" i="6" s="1"/>
  <c r="D67" i="6"/>
  <c r="G67" i="6" s="1"/>
  <c r="H67" i="6" s="1"/>
  <c r="I67" i="6" s="1"/>
  <c r="D68" i="6"/>
  <c r="G68" i="6" s="1"/>
  <c r="H68" i="6" s="1"/>
  <c r="I68" i="6" s="1"/>
  <c r="D69" i="6"/>
  <c r="G69" i="6" s="1"/>
  <c r="H69" i="6" s="1"/>
  <c r="I69" i="6" s="1"/>
  <c r="D70" i="6"/>
  <c r="G70" i="6" s="1"/>
  <c r="H70" i="6" s="1"/>
  <c r="I70" i="6" s="1"/>
  <c r="D71" i="6"/>
  <c r="G71" i="6" s="1"/>
  <c r="H71" i="6" s="1"/>
  <c r="I71" i="6" s="1"/>
  <c r="D72" i="6"/>
  <c r="G72" i="6" s="1"/>
  <c r="H72" i="6" s="1"/>
  <c r="I72" i="6" s="1"/>
  <c r="D73" i="6"/>
  <c r="G73" i="6" s="1"/>
  <c r="H73" i="6" s="1"/>
  <c r="I73" i="6" s="1"/>
  <c r="D74" i="6"/>
  <c r="G74" i="6" s="1"/>
  <c r="H74" i="6" s="1"/>
  <c r="I74" i="6" s="1"/>
  <c r="D75" i="6"/>
  <c r="G75" i="6" s="1"/>
  <c r="H75" i="6" s="1"/>
  <c r="I75" i="6" s="1"/>
  <c r="D76" i="6"/>
  <c r="G76" i="6" s="1"/>
  <c r="H76" i="6" s="1"/>
  <c r="I76" i="6" s="1"/>
  <c r="D77" i="6"/>
  <c r="G77" i="6" s="1"/>
  <c r="H77" i="6" s="1"/>
  <c r="I77" i="6" s="1"/>
  <c r="D78" i="6"/>
  <c r="G78" i="6" s="1"/>
  <c r="H78" i="6" s="1"/>
  <c r="I78" i="6" s="1"/>
  <c r="D79" i="6"/>
  <c r="G79" i="6" s="1"/>
  <c r="H79" i="6" s="1"/>
  <c r="I79" i="6" s="1"/>
  <c r="D80" i="6"/>
  <c r="G80" i="6" s="1"/>
  <c r="H80" i="6" s="1"/>
  <c r="I80" i="6" s="1"/>
  <c r="D81" i="6"/>
  <c r="G81" i="6" s="1"/>
  <c r="H81" i="6" s="1"/>
  <c r="I81" i="6" s="1"/>
  <c r="D82" i="6"/>
  <c r="G82" i="6" s="1"/>
  <c r="H82" i="6" s="1"/>
  <c r="I82" i="6" s="1"/>
  <c r="D83" i="6"/>
  <c r="G83" i="6" s="1"/>
  <c r="H83" i="6" s="1"/>
  <c r="I83" i="6" s="1"/>
  <c r="D84" i="6"/>
  <c r="G84" i="6" s="1"/>
  <c r="H84" i="6" s="1"/>
  <c r="I84" i="6" s="1"/>
  <c r="D85" i="6"/>
  <c r="G85" i="6" s="1"/>
  <c r="H85" i="6" s="1"/>
  <c r="I85" i="6" s="1"/>
  <c r="D86" i="6"/>
  <c r="G86" i="6" s="1"/>
  <c r="H86" i="6" s="1"/>
  <c r="I86" i="6" s="1"/>
  <c r="D87" i="6"/>
  <c r="G87" i="6" s="1"/>
  <c r="H87" i="6" s="1"/>
  <c r="I87" i="6" s="1"/>
  <c r="D88" i="6"/>
  <c r="G88" i="6" s="1"/>
  <c r="H88" i="6" s="1"/>
  <c r="I88" i="6" s="1"/>
  <c r="D89" i="6"/>
  <c r="G89" i="6" s="1"/>
  <c r="H89" i="6" s="1"/>
  <c r="I89" i="6" s="1"/>
  <c r="D90" i="6"/>
  <c r="G90" i="6" s="1"/>
  <c r="H90" i="6" s="1"/>
  <c r="I90" i="6" s="1"/>
  <c r="D91" i="6"/>
  <c r="G91" i="6" s="1"/>
  <c r="H91" i="6" s="1"/>
  <c r="I91" i="6" s="1"/>
  <c r="D92" i="6"/>
  <c r="G92" i="6" s="1"/>
  <c r="H92" i="6" s="1"/>
  <c r="I92" i="6" s="1"/>
  <c r="D93" i="6"/>
  <c r="G93" i="6" s="1"/>
  <c r="H93" i="6" s="1"/>
  <c r="D94" i="6"/>
  <c r="G94" i="6" s="1"/>
  <c r="H94" i="6" s="1"/>
  <c r="I94" i="6" s="1"/>
  <c r="L17" i="30"/>
  <c r="K2" i="7"/>
  <c r="J3" i="7"/>
  <c r="J4" i="7"/>
  <c r="J5" i="7"/>
  <c r="J6" i="7"/>
  <c r="J7" i="7"/>
  <c r="J8" i="7"/>
  <c r="J9" i="7"/>
  <c r="M9" i="7"/>
  <c r="N9" i="7" s="1"/>
  <c r="O9" i="7" s="1"/>
  <c r="O10" i="7"/>
  <c r="J13" i="7"/>
  <c r="J14" i="7"/>
  <c r="J15" i="7"/>
  <c r="J16" i="7"/>
  <c r="J17" i="7"/>
  <c r="J18" i="7"/>
  <c r="J19" i="7"/>
  <c r="J20" i="7"/>
  <c r="J21" i="7"/>
  <c r="J22" i="7"/>
  <c r="D108" i="7"/>
  <c r="F112" i="7" s="1"/>
  <c r="K109" i="7"/>
  <c r="K47" i="13"/>
  <c r="N10" i="7"/>
  <c r="B122" i="5"/>
  <c r="B112" i="5"/>
  <c r="B93" i="5"/>
  <c r="B71" i="5"/>
  <c r="B70" i="5"/>
  <c r="B69" i="5"/>
  <c r="B68" i="5"/>
  <c r="B67" i="5"/>
  <c r="B66" i="5"/>
  <c r="B65" i="5"/>
  <c r="B64" i="5"/>
  <c r="B63" i="5"/>
  <c r="B62" i="5"/>
  <c r="B61" i="5"/>
  <c r="B60" i="5"/>
  <c r="B59" i="5"/>
  <c r="B58" i="5"/>
  <c r="B57" i="5"/>
  <c r="B55" i="5"/>
  <c r="B54" i="5"/>
  <c r="B53" i="5"/>
  <c r="B52" i="5"/>
  <c r="B51" i="5"/>
  <c r="B50" i="5"/>
  <c r="B49" i="5"/>
  <c r="B47" i="5"/>
  <c r="B46" i="5"/>
  <c r="B45" i="5"/>
  <c r="B44" i="5"/>
  <c r="B43" i="5"/>
  <c r="B42" i="5"/>
  <c r="B41" i="5"/>
  <c r="B39" i="5"/>
  <c r="B38" i="5"/>
  <c r="B37" i="5"/>
  <c r="B36" i="5"/>
  <c r="B35" i="5"/>
  <c r="B34" i="5"/>
  <c r="B33" i="5"/>
  <c r="B29" i="5"/>
  <c r="B30" i="5"/>
  <c r="B31" i="5"/>
  <c r="B28" i="5"/>
  <c r="B27" i="5"/>
  <c r="B26" i="5"/>
  <c r="B25" i="5"/>
  <c r="B24" i="5"/>
  <c r="B23" i="5"/>
  <c r="B22" i="5"/>
  <c r="B21" i="5"/>
  <c r="B19" i="5"/>
  <c r="B18" i="5"/>
  <c r="B17" i="5"/>
  <c r="B16" i="5"/>
  <c r="B15" i="5"/>
  <c r="M11" i="7"/>
  <c r="N11" i="7" s="1"/>
  <c r="B55" i="12"/>
  <c r="C55" i="12" s="1"/>
  <c r="D55" i="12" s="1"/>
  <c r="E55" i="12" s="1"/>
  <c r="F55" i="12" s="1"/>
  <c r="G55" i="12" s="1"/>
  <c r="H55" i="12" s="1"/>
  <c r="I55" i="12" s="1"/>
  <c r="J55" i="12" s="1"/>
  <c r="K55" i="12" s="1"/>
  <c r="L55" i="12" s="1"/>
  <c r="M55" i="12" s="1"/>
  <c r="N55" i="12" s="1"/>
  <c r="O55" i="12" s="1"/>
  <c r="P55" i="12" s="1"/>
  <c r="Q55" i="12" s="1"/>
  <c r="R55" i="12" s="1"/>
  <c r="S55" i="12" s="1"/>
  <c r="T55" i="12" s="1"/>
  <c r="U55" i="12" s="1"/>
  <c r="V55" i="12" s="1"/>
  <c r="W55" i="12" s="1"/>
  <c r="X55" i="12" s="1"/>
  <c r="Y55" i="12" s="1"/>
  <c r="Z55" i="12" s="1"/>
  <c r="AA55" i="12" s="1"/>
  <c r="AB55" i="12" s="1"/>
  <c r="AC55" i="12" s="1"/>
  <c r="AD55" i="12" s="1"/>
  <c r="AE55" i="12" s="1"/>
  <c r="AF55" i="12" s="1"/>
  <c r="AG55" i="12" s="1"/>
  <c r="AH55" i="12" s="1"/>
  <c r="AI55" i="12" s="1"/>
  <c r="AJ55" i="12" s="1"/>
  <c r="AK55" i="12" s="1"/>
  <c r="AL55" i="12" s="1"/>
  <c r="AM55" i="12" s="1"/>
  <c r="AN55" i="12" s="1"/>
  <c r="AO55" i="12" s="1"/>
  <c r="AP55" i="12" s="1"/>
  <c r="AQ55" i="12" s="1"/>
  <c r="AR55" i="12" s="1"/>
  <c r="AS55" i="12" s="1"/>
  <c r="AT55" i="12" s="1"/>
  <c r="AU55" i="12" s="1"/>
  <c r="AV55" i="12" s="1"/>
  <c r="AW55" i="12" s="1"/>
  <c r="AX55" i="12" s="1"/>
  <c r="AY55" i="12" s="1"/>
  <c r="AZ55" i="12" s="1"/>
  <c r="B54" i="12"/>
  <c r="C54" i="12" s="1"/>
  <c r="D54" i="12" s="1"/>
  <c r="E54" i="12" s="1"/>
  <c r="F54" i="12" s="1"/>
  <c r="G54" i="12" s="1"/>
  <c r="H54" i="12" s="1"/>
  <c r="I54" i="12" s="1"/>
  <c r="J54" i="12" s="1"/>
  <c r="K54" i="12" s="1"/>
  <c r="L54" i="12" s="1"/>
  <c r="M54" i="12" s="1"/>
  <c r="N54" i="12" s="1"/>
  <c r="O54" i="12" s="1"/>
  <c r="P54" i="12" s="1"/>
  <c r="Q54" i="12" s="1"/>
  <c r="R54" i="12" s="1"/>
  <c r="S54" i="12" s="1"/>
  <c r="T54" i="12" s="1"/>
  <c r="U54" i="12" s="1"/>
  <c r="V54" i="12" s="1"/>
  <c r="W54" i="12" s="1"/>
  <c r="X54" i="12" s="1"/>
  <c r="Y54" i="12" s="1"/>
  <c r="Z54" i="12" s="1"/>
  <c r="AA54" i="12" s="1"/>
  <c r="AB54" i="12" s="1"/>
  <c r="AC54" i="12" s="1"/>
  <c r="AD54" i="12" s="1"/>
  <c r="AE54" i="12" s="1"/>
  <c r="AF54" i="12" s="1"/>
  <c r="AG54" i="12" s="1"/>
  <c r="AH54" i="12" s="1"/>
  <c r="AI54" i="12" s="1"/>
  <c r="AJ54" i="12" s="1"/>
  <c r="AK54" i="12" s="1"/>
  <c r="AL54" i="12" s="1"/>
  <c r="AM54" i="12" s="1"/>
  <c r="AN54" i="12" s="1"/>
  <c r="AO54" i="12" s="1"/>
  <c r="AP54" i="12" s="1"/>
  <c r="AQ54" i="12" s="1"/>
  <c r="AR54" i="12" s="1"/>
  <c r="AS54" i="12" s="1"/>
  <c r="AT54" i="12" s="1"/>
  <c r="AU54" i="12" s="1"/>
  <c r="AV54" i="12" s="1"/>
  <c r="AW54" i="12" s="1"/>
  <c r="AX54" i="12" s="1"/>
  <c r="AY54" i="12" s="1"/>
  <c r="AZ54" i="12" s="1"/>
  <c r="M49" i="1"/>
  <c r="C137" i="5"/>
  <c r="C138" i="5"/>
  <c r="D55" i="7"/>
  <c r="Q51" i="7"/>
  <c r="Q52" i="7"/>
  <c r="Q53" i="7"/>
  <c r="Q54" i="7"/>
  <c r="Q56" i="7"/>
  <c r="D58" i="7"/>
  <c r="Q64" i="7"/>
  <c r="Q66" i="7"/>
  <c r="Q3" i="7"/>
  <c r="Q4" i="7"/>
  <c r="Q5" i="7"/>
  <c r="Q6" i="7"/>
  <c r="Q7" i="7"/>
  <c r="Q8" i="7"/>
  <c r="Q9" i="7"/>
  <c r="Q10" i="7"/>
  <c r="Q12" i="7"/>
  <c r="Q13" i="7"/>
  <c r="Q14" i="7"/>
  <c r="Q15" i="7"/>
  <c r="Q16" i="7"/>
  <c r="Q17" i="7"/>
  <c r="Q18" i="7"/>
  <c r="Q19" i="7"/>
  <c r="Q20" i="7"/>
  <c r="Q22" i="7"/>
  <c r="Q23" i="7"/>
  <c r="P3" i="7"/>
  <c r="P4" i="7"/>
  <c r="P5" i="7"/>
  <c r="P6" i="7"/>
  <c r="P7" i="7"/>
  <c r="P8" i="7"/>
  <c r="P14" i="7"/>
  <c r="P15" i="7"/>
  <c r="P9" i="7"/>
  <c r="P12" i="7"/>
  <c r="P13" i="7"/>
  <c r="P16" i="7"/>
  <c r="P17" i="7"/>
  <c r="P18" i="7"/>
  <c r="P19" i="7"/>
  <c r="P20" i="7"/>
  <c r="P22" i="7"/>
  <c r="P23" i="7"/>
  <c r="E124" i="7"/>
  <c r="E122" i="7"/>
  <c r="E118" i="7"/>
  <c r="E117" i="7"/>
  <c r="E115" i="7"/>
  <c r="E114" i="7"/>
  <c r="J2" i="7"/>
  <c r="G51" i="7"/>
  <c r="G52" i="7" s="1"/>
  <c r="G53" i="7" s="1"/>
  <c r="G54" i="7" s="1"/>
  <c r="G55" i="7" s="1"/>
  <c r="G56" i="7" s="1"/>
  <c r="G57" i="7" s="1"/>
  <c r="G58" i="7" s="1"/>
  <c r="G59" i="7" s="1"/>
  <c r="G60" i="7" s="1"/>
  <c r="G61" i="7" s="1"/>
  <c r="G62" i="7" s="1"/>
  <c r="G63" i="7" s="1"/>
  <c r="G64" i="7" s="1"/>
  <c r="G65" i="7" s="1"/>
  <c r="G66" i="7" s="1"/>
  <c r="Y46" i="1"/>
  <c r="Y47" i="1" s="1"/>
  <c r="Y50" i="1" s="1"/>
  <c r="Y51" i="1" s="1"/>
  <c r="Y53" i="1" s="1"/>
  <c r="Y54" i="1" s="1"/>
  <c r="Y55" i="1" s="1"/>
  <c r="Y56" i="1" s="1"/>
  <c r="Y57" i="1" s="1"/>
  <c r="Y58" i="1" s="1"/>
  <c r="Y59" i="1" s="1"/>
  <c r="Y60" i="1" s="1"/>
  <c r="Y61" i="1" s="1"/>
  <c r="Y62" i="1" s="1"/>
  <c r="Y63" i="1" s="1"/>
  <c r="Y64" i="1" s="1"/>
  <c r="Y65" i="1" s="1"/>
  <c r="Y66" i="1" s="1"/>
  <c r="Y67" i="1" s="1"/>
  <c r="Y68" i="1" s="1"/>
  <c r="Y69" i="1" s="1"/>
  <c r="Y70" i="1" s="1"/>
  <c r="Y71" i="1" s="1"/>
  <c r="Y72" i="1" s="1"/>
  <c r="Y73" i="1" s="1"/>
  <c r="Y74" i="1" s="1"/>
  <c r="Y75" i="1" s="1"/>
  <c r="Y76" i="1" s="1"/>
  <c r="Y77" i="1" s="1"/>
  <c r="Y78" i="1" s="1"/>
  <c r="Y79" i="1" s="1"/>
  <c r="Y80" i="1" s="1"/>
  <c r="Y81" i="1" s="1"/>
  <c r="Y82" i="1" s="1"/>
  <c r="Y83" i="1" s="1"/>
  <c r="Y84" i="1" s="1"/>
  <c r="Y85" i="1" s="1"/>
  <c r="Y86" i="1" s="1"/>
  <c r="Y87" i="1" s="1"/>
  <c r="A1" i="11"/>
  <c r="A1" i="5"/>
  <c r="M12" i="2"/>
  <c r="B66" i="12"/>
  <c r="C66" i="12" s="1"/>
  <c r="D66" i="12" s="1"/>
  <c r="E66" i="12" s="1"/>
  <c r="D59" i="7"/>
  <c r="D61" i="7"/>
  <c r="D62" i="7"/>
  <c r="D64" i="7"/>
  <c r="D65" i="7"/>
  <c r="D66" i="7"/>
  <c r="D67" i="7"/>
  <c r="H30" i="30" s="1"/>
  <c r="D68" i="7"/>
  <c r="F17" i="6"/>
  <c r="E17" i="6"/>
  <c r="K48" i="13"/>
  <c r="K49" i="13"/>
  <c r="K50" i="13"/>
  <c r="K51" i="13"/>
  <c r="K52" i="13"/>
  <c r="K53" i="13"/>
  <c r="F30" i="6"/>
  <c r="E30" i="6"/>
  <c r="D130" i="5"/>
  <c r="D117" i="5"/>
  <c r="D106" i="5"/>
  <c r="D56" i="5"/>
  <c r="D40" i="5"/>
  <c r="C4" i="30"/>
  <c r="A1" i="10"/>
  <c r="I116" i="3"/>
  <c r="J116" i="3" s="1"/>
  <c r="Z1" i="9"/>
  <c r="Z2" i="9"/>
  <c r="C113" i="3"/>
  <c r="E113" i="3" s="1"/>
  <c r="F63" i="11"/>
  <c r="F64" i="11"/>
  <c r="F66" i="11" s="1"/>
  <c r="F65" i="11"/>
  <c r="F58" i="11"/>
  <c r="F59" i="11"/>
  <c r="F60" i="11"/>
  <c r="F61" i="11"/>
  <c r="F50" i="11"/>
  <c r="F51" i="11"/>
  <c r="F52" i="11"/>
  <c r="F53" i="11"/>
  <c r="F54" i="11"/>
  <c r="F55" i="11"/>
  <c r="F56" i="11"/>
  <c r="F38" i="11"/>
  <c r="F39" i="11"/>
  <c r="F40" i="11"/>
  <c r="F41" i="11"/>
  <c r="F42" i="11"/>
  <c r="F43" i="11"/>
  <c r="F44" i="11"/>
  <c r="F45" i="11"/>
  <c r="F46" i="11"/>
  <c r="F47" i="11"/>
  <c r="F48" i="11"/>
  <c r="F33" i="11"/>
  <c r="F34" i="11"/>
  <c r="F35" i="11"/>
  <c r="F36" i="11"/>
  <c r="F27" i="11"/>
  <c r="F28" i="11"/>
  <c r="F29" i="11"/>
  <c r="F30" i="11"/>
  <c r="F31" i="11"/>
  <c r="F22" i="11"/>
  <c r="F23" i="11"/>
  <c r="F24" i="11"/>
  <c r="F25" i="11"/>
  <c r="F12" i="11"/>
  <c r="F13" i="11"/>
  <c r="F14" i="11"/>
  <c r="F15" i="11"/>
  <c r="F16" i="11"/>
  <c r="F17" i="11"/>
  <c r="F18" i="11"/>
  <c r="F19" i="11"/>
  <c r="F20" i="11"/>
  <c r="F18" i="6"/>
  <c r="E18" i="6"/>
  <c r="F31" i="6"/>
  <c r="E31" i="6"/>
  <c r="D7" i="11"/>
  <c r="D63" i="11"/>
  <c r="D64" i="11"/>
  <c r="D65" i="11"/>
  <c r="D58" i="11"/>
  <c r="D59" i="11"/>
  <c r="D60" i="11"/>
  <c r="D62" i="11" s="1"/>
  <c r="D61" i="11"/>
  <c r="D50" i="11"/>
  <c r="D51" i="11"/>
  <c r="D52" i="11"/>
  <c r="D53" i="11"/>
  <c r="D57" i="11" s="1"/>
  <c r="D54" i="11"/>
  <c r="D55" i="11"/>
  <c r="D56" i="11"/>
  <c r="D38" i="11"/>
  <c r="D39" i="11"/>
  <c r="D40" i="11"/>
  <c r="D41" i="11"/>
  <c r="D42" i="11"/>
  <c r="D43" i="11"/>
  <c r="D44" i="11"/>
  <c r="D45" i="11"/>
  <c r="D46" i="11"/>
  <c r="D47" i="11"/>
  <c r="D48" i="11"/>
  <c r="D33" i="11"/>
  <c r="D34" i="11"/>
  <c r="D35" i="11"/>
  <c r="D36" i="11"/>
  <c r="D27" i="11"/>
  <c r="D32" i="11" s="1"/>
  <c r="D28" i="11"/>
  <c r="D29" i="11"/>
  <c r="D30" i="11"/>
  <c r="D31" i="11"/>
  <c r="D22" i="11"/>
  <c r="D23" i="11"/>
  <c r="D24" i="11"/>
  <c r="D25" i="11"/>
  <c r="D26" i="11" s="1"/>
  <c r="D12" i="11"/>
  <c r="D13" i="11"/>
  <c r="D14" i="11"/>
  <c r="D15" i="11"/>
  <c r="D16" i="11"/>
  <c r="D17" i="11"/>
  <c r="D18" i="11"/>
  <c r="D19" i="11"/>
  <c r="D20" i="11"/>
  <c r="E63" i="11"/>
  <c r="E64" i="11"/>
  <c r="E65" i="11"/>
  <c r="E66" i="11" s="1"/>
  <c r="E58" i="11"/>
  <c r="E59" i="11"/>
  <c r="E60" i="11"/>
  <c r="E61" i="11"/>
  <c r="E62" i="11" s="1"/>
  <c r="E50" i="11"/>
  <c r="E51" i="11"/>
  <c r="E52" i="11"/>
  <c r="E53" i="11"/>
  <c r="E54" i="11"/>
  <c r="E55" i="11"/>
  <c r="E56" i="11"/>
  <c r="E38" i="11"/>
  <c r="E49" i="11" s="1"/>
  <c r="E39" i="11"/>
  <c r="E40" i="11"/>
  <c r="E41" i="11"/>
  <c r="E42" i="11"/>
  <c r="E43" i="11"/>
  <c r="E44" i="11"/>
  <c r="E45" i="11"/>
  <c r="E46" i="11"/>
  <c r="E47" i="11"/>
  <c r="E48" i="11"/>
  <c r="E33" i="11"/>
  <c r="E34" i="11"/>
  <c r="E35" i="11"/>
  <c r="E36" i="11"/>
  <c r="E27" i="11"/>
  <c r="E28" i="11"/>
  <c r="E29" i="11"/>
  <c r="E30" i="11"/>
  <c r="E31" i="11"/>
  <c r="E22" i="11"/>
  <c r="E23" i="11"/>
  <c r="E24" i="11"/>
  <c r="E25" i="11"/>
  <c r="E12" i="11"/>
  <c r="E21" i="11" s="1"/>
  <c r="E13" i="11"/>
  <c r="E14" i="11"/>
  <c r="E15" i="11"/>
  <c r="E16" i="11"/>
  <c r="E17" i="11"/>
  <c r="E18" i="11"/>
  <c r="E19" i="11"/>
  <c r="E20" i="11"/>
  <c r="N3" i="9"/>
  <c r="N4" i="9"/>
  <c r="O26" i="1"/>
  <c r="L8" i="30"/>
  <c r="A48" i="7"/>
  <c r="F68" i="11"/>
  <c r="E68" i="11"/>
  <c r="D68" i="11"/>
  <c r="F67" i="11"/>
  <c r="E67" i="11"/>
  <c r="D67" i="11"/>
  <c r="F58" i="8"/>
  <c r="E58" i="8"/>
  <c r="D58" i="8"/>
  <c r="F54" i="8"/>
  <c r="E54" i="8"/>
  <c r="D54" i="8"/>
  <c r="F49" i="8"/>
  <c r="E49" i="8"/>
  <c r="D49" i="8"/>
  <c r="F41" i="8"/>
  <c r="E41" i="8"/>
  <c r="D41" i="8"/>
  <c r="F29" i="8"/>
  <c r="E29" i="8"/>
  <c r="D29" i="8"/>
  <c r="F24" i="8"/>
  <c r="E24" i="8"/>
  <c r="D24" i="8"/>
  <c r="F18" i="8"/>
  <c r="E18" i="8"/>
  <c r="D18" i="8"/>
  <c r="F13" i="8"/>
  <c r="E13" i="8"/>
  <c r="D13" i="8"/>
  <c r="L49" i="1"/>
  <c r="E24" i="3" s="1"/>
  <c r="L24" i="3" s="1"/>
  <c r="N6" i="9"/>
  <c r="J46" i="9"/>
  <c r="L46" i="9" s="1"/>
  <c r="I60" i="7"/>
  <c r="A63" i="7"/>
  <c r="A86" i="7" s="1"/>
  <c r="A51" i="7"/>
  <c r="I59" i="7"/>
  <c r="F24" i="7"/>
  <c r="B44" i="12"/>
  <c r="C44" i="12" s="1"/>
  <c r="C8" i="12"/>
  <c r="D8" i="12" s="1"/>
  <c r="E8" i="12" s="1"/>
  <c r="F8" i="12" s="1"/>
  <c r="G8" i="12" s="1"/>
  <c r="H8" i="12" s="1"/>
  <c r="I8" i="12" s="1"/>
  <c r="J8" i="12" s="1"/>
  <c r="K8" i="12" s="1"/>
  <c r="L8" i="12" s="1"/>
  <c r="M8" i="12" s="1"/>
  <c r="N8" i="12" s="1"/>
  <c r="O8" i="12" s="1"/>
  <c r="P8" i="12" s="1"/>
  <c r="Q8" i="12" s="1"/>
  <c r="R8" i="12" s="1"/>
  <c r="S8" i="12" s="1"/>
  <c r="T8" i="12" s="1"/>
  <c r="U8" i="12" s="1"/>
  <c r="V8" i="12" s="1"/>
  <c r="W8" i="12" s="1"/>
  <c r="X8" i="12" s="1"/>
  <c r="Y8" i="12" s="1"/>
  <c r="Z8" i="12" s="1"/>
  <c r="AA8" i="12" s="1"/>
  <c r="AB8" i="12" s="1"/>
  <c r="AC8" i="12" s="1"/>
  <c r="AD8" i="12" s="1"/>
  <c r="AE8" i="12" s="1"/>
  <c r="AF8" i="12" s="1"/>
  <c r="AG8" i="12" s="1"/>
  <c r="AH8" i="12" s="1"/>
  <c r="AI8" i="12" s="1"/>
  <c r="AJ8" i="12" s="1"/>
  <c r="AK8" i="12" s="1"/>
  <c r="AL8" i="12" s="1"/>
  <c r="AM8" i="12" s="1"/>
  <c r="AN8" i="12" s="1"/>
  <c r="AO8" i="12" s="1"/>
  <c r="AP8" i="12" s="1"/>
  <c r="AQ8" i="12" s="1"/>
  <c r="AR8" i="12" s="1"/>
  <c r="AS8" i="12" s="1"/>
  <c r="AT8" i="12" s="1"/>
  <c r="AU8" i="12" s="1"/>
  <c r="AV8" i="12" s="1"/>
  <c r="AW8" i="12" s="1"/>
  <c r="AX8" i="12" s="1"/>
  <c r="AY8" i="12" s="1"/>
  <c r="AZ8" i="12" s="1"/>
  <c r="AZ7" i="12"/>
  <c r="AY7" i="12"/>
  <c r="AX7" i="12"/>
  <c r="AW7" i="12"/>
  <c r="AV7" i="12"/>
  <c r="AU7" i="12"/>
  <c r="AT7" i="12"/>
  <c r="AS7" i="12"/>
  <c r="AR7" i="12"/>
  <c r="AQ7" i="12"/>
  <c r="AP7" i="12"/>
  <c r="AO7" i="12"/>
  <c r="AN7" i="12"/>
  <c r="AM7" i="12"/>
  <c r="AL7" i="12"/>
  <c r="AK7" i="12"/>
  <c r="AJ7" i="12"/>
  <c r="AI7" i="12"/>
  <c r="AH7" i="12"/>
  <c r="AG7" i="12"/>
  <c r="AF7" i="12"/>
  <c r="AE7" i="12"/>
  <c r="AD7" i="12"/>
  <c r="AC7" i="12"/>
  <c r="AB7" i="12"/>
  <c r="AA7" i="12"/>
  <c r="Z7" i="12"/>
  <c r="Y7" i="12"/>
  <c r="X7" i="12"/>
  <c r="W7" i="12"/>
  <c r="V7" i="12"/>
  <c r="U7" i="12"/>
  <c r="T7" i="12"/>
  <c r="S7" i="12"/>
  <c r="R7" i="12"/>
  <c r="Q7" i="12"/>
  <c r="P7" i="12"/>
  <c r="O7" i="12"/>
  <c r="N7" i="12"/>
  <c r="M7" i="12"/>
  <c r="L7" i="12"/>
  <c r="K7" i="12"/>
  <c r="J7" i="12"/>
  <c r="I7" i="12"/>
  <c r="H7" i="12"/>
  <c r="G7" i="12"/>
  <c r="F7" i="12"/>
  <c r="E7" i="12"/>
  <c r="D7" i="12"/>
  <c r="C7" i="12"/>
  <c r="L9" i="30"/>
  <c r="L6" i="30"/>
  <c r="L5" i="30"/>
  <c r="L4" i="30"/>
  <c r="G8" i="30"/>
  <c r="E7" i="30"/>
  <c r="G10" i="30"/>
  <c r="B9" i="30"/>
  <c r="G9" i="30"/>
  <c r="C7" i="30"/>
  <c r="L16" i="30"/>
  <c r="C10" i="30"/>
  <c r="C8" i="30"/>
  <c r="E6" i="30"/>
  <c r="C6" i="30"/>
  <c r="C5" i="30"/>
  <c r="C28" i="30"/>
  <c r="C30" i="30"/>
  <c r="U43" i="9"/>
  <c r="N43" i="9"/>
  <c r="H2" i="7"/>
  <c r="F2" i="7"/>
  <c r="K56" i="7"/>
  <c r="K58" i="7"/>
  <c r="K59" i="7"/>
  <c r="K60" i="7"/>
  <c r="AA80" i="3"/>
  <c r="AA81" i="3" s="1"/>
  <c r="AA82" i="3" s="1"/>
  <c r="AA83" i="3" s="1"/>
  <c r="AA84" i="3" s="1"/>
  <c r="AA85" i="3" s="1"/>
  <c r="AA86" i="3" s="1"/>
  <c r="AA87" i="3" s="1"/>
  <c r="AA88" i="3" s="1"/>
  <c r="AA89" i="3" s="1"/>
  <c r="AA90" i="3" s="1"/>
  <c r="AA91" i="3" s="1"/>
  <c r="AA92" i="3" s="1"/>
  <c r="AA66" i="3"/>
  <c r="AA67" i="3" s="1"/>
  <c r="AA68" i="3" s="1"/>
  <c r="AA69" i="3" s="1"/>
  <c r="AA70" i="3" s="1"/>
  <c r="AA71" i="3" s="1"/>
  <c r="AA72" i="3" s="1"/>
  <c r="AA73" i="3" s="1"/>
  <c r="AA74" i="3" s="1"/>
  <c r="AA75" i="3" s="1"/>
  <c r="AA76" i="3" s="1"/>
  <c r="AA77" i="3" s="1"/>
  <c r="AA78" i="3" s="1"/>
  <c r="AH52" i="3"/>
  <c r="AH53" i="3" s="1"/>
  <c r="AH54" i="3" s="1"/>
  <c r="AH55" i="3" s="1"/>
  <c r="AO38" i="3"/>
  <c r="AO39" i="3" s="1"/>
  <c r="AO40" i="3" s="1"/>
  <c r="AO41" i="3" s="1"/>
  <c r="AO42" i="3" s="1"/>
  <c r="AO43" i="3" s="1"/>
  <c r="AO44" i="3" s="1"/>
  <c r="AO45" i="3" s="1"/>
  <c r="AO46" i="3" s="1"/>
  <c r="AO47" i="3" s="1"/>
  <c r="AO48" i="3" s="1"/>
  <c r="AO49" i="3" s="1"/>
  <c r="AO50" i="3" s="1"/>
  <c r="G7" i="3"/>
  <c r="F1" i="3" s="1"/>
  <c r="C139" i="5"/>
  <c r="A60" i="7"/>
  <c r="A67" i="7"/>
  <c r="A90" i="7" s="1"/>
  <c r="AO66" i="3"/>
  <c r="AO67" i="3" s="1"/>
  <c r="AO10" i="3"/>
  <c r="AO11" i="3" s="1"/>
  <c r="AO12" i="3" s="1"/>
  <c r="AO13" i="3" s="1"/>
  <c r="AO14" i="3" s="1"/>
  <c r="AO15" i="3" s="1"/>
  <c r="AO16" i="3" s="1"/>
  <c r="AO17" i="3" s="1"/>
  <c r="AO18" i="3" s="1"/>
  <c r="AO19" i="3" s="1"/>
  <c r="AO20" i="3" s="1"/>
  <c r="AO21" i="3" s="1"/>
  <c r="AO22" i="3" s="1"/>
  <c r="AH66" i="3"/>
  <c r="AH67" i="3" s="1"/>
  <c r="AH68" i="3" s="1"/>
  <c r="AH24" i="3"/>
  <c r="AH25" i="3" s="1"/>
  <c r="AA10" i="3"/>
  <c r="AA11" i="3" s="1"/>
  <c r="T80" i="3"/>
  <c r="T81" i="3" s="1"/>
  <c r="T82" i="3" s="1"/>
  <c r="T83" i="3" s="1"/>
  <c r="T84" i="3" s="1"/>
  <c r="T66" i="3"/>
  <c r="T67" i="3" s="1"/>
  <c r="D2" i="9"/>
  <c r="A6" i="3" s="1"/>
  <c r="H127" i="3"/>
  <c r="H126" i="3"/>
  <c r="H125" i="3"/>
  <c r="H124" i="3"/>
  <c r="H123" i="3"/>
  <c r="H122" i="3"/>
  <c r="H121" i="3"/>
  <c r="H120" i="3"/>
  <c r="H119" i="3"/>
  <c r="H118" i="3"/>
  <c r="H117" i="3"/>
  <c r="H112" i="3"/>
  <c r="H111" i="3"/>
  <c r="H110" i="3"/>
  <c r="H109" i="3"/>
  <c r="H108" i="3"/>
  <c r="H107" i="3"/>
  <c r="H106" i="3"/>
  <c r="H105" i="3"/>
  <c r="H104" i="3"/>
  <c r="H103" i="3"/>
  <c r="H102" i="3"/>
  <c r="R49" i="1"/>
  <c r="E80" i="3" s="1"/>
  <c r="AG80" i="3" s="1"/>
  <c r="Q49" i="1"/>
  <c r="E66" i="3" s="1"/>
  <c r="P49" i="1"/>
  <c r="E52" i="3" s="1"/>
  <c r="E38" i="3"/>
  <c r="E39" i="3" s="1"/>
  <c r="AN39" i="3" s="1"/>
  <c r="K49" i="1"/>
  <c r="E10" i="3" s="1"/>
  <c r="L10" i="3" s="1"/>
  <c r="C128" i="3"/>
  <c r="F113" i="3"/>
  <c r="E112" i="3"/>
  <c r="E111" i="3"/>
  <c r="E110" i="3"/>
  <c r="E109" i="3"/>
  <c r="E108" i="3"/>
  <c r="E107" i="3"/>
  <c r="E106" i="3"/>
  <c r="E105" i="3"/>
  <c r="E104" i="3"/>
  <c r="E103" i="3"/>
  <c r="E102" i="3"/>
  <c r="AW92" i="3"/>
  <c r="AX92" i="3" s="1"/>
  <c r="AW91" i="3"/>
  <c r="AX91" i="3" s="1"/>
  <c r="AW90" i="3"/>
  <c r="AX90" i="3" s="1"/>
  <c r="AW89" i="3"/>
  <c r="AX89" i="3" s="1"/>
  <c r="AW88" i="3"/>
  <c r="AX88" i="3" s="1"/>
  <c r="AW87" i="3"/>
  <c r="AX87" i="3" s="1"/>
  <c r="AW86" i="3"/>
  <c r="AX86" i="3" s="1"/>
  <c r="AW85" i="3"/>
  <c r="AX85" i="3" s="1"/>
  <c r="AW84" i="3"/>
  <c r="AX84" i="3" s="1"/>
  <c r="AW83" i="3"/>
  <c r="AX83" i="3" s="1"/>
  <c r="AW82" i="3"/>
  <c r="AX82" i="3" s="1"/>
  <c r="AW81" i="3"/>
  <c r="AX81" i="3" s="1"/>
  <c r="AW80" i="3"/>
  <c r="AX80" i="3" s="1"/>
  <c r="AW78" i="3"/>
  <c r="AX78" i="3" s="1"/>
  <c r="AW77" i="3"/>
  <c r="AX77" i="3" s="1"/>
  <c r="AW76" i="3"/>
  <c r="AX76" i="3" s="1"/>
  <c r="AW75" i="3"/>
  <c r="AX75" i="3" s="1"/>
  <c r="AW74" i="3"/>
  <c r="AX74" i="3" s="1"/>
  <c r="AW73" i="3"/>
  <c r="AX73" i="3" s="1"/>
  <c r="AW72" i="3"/>
  <c r="AX72" i="3" s="1"/>
  <c r="AW71" i="3"/>
  <c r="AX71" i="3" s="1"/>
  <c r="AW70" i="3"/>
  <c r="AX70" i="3" s="1"/>
  <c r="AW69" i="3"/>
  <c r="AX69" i="3" s="1"/>
  <c r="AW68" i="3"/>
  <c r="AX68" i="3" s="1"/>
  <c r="AW67" i="3"/>
  <c r="AX67" i="3" s="1"/>
  <c r="AW66" i="3"/>
  <c r="AX66" i="3" s="1"/>
  <c r="AW64" i="3"/>
  <c r="AX64" i="3" s="1"/>
  <c r="AW63" i="3"/>
  <c r="AX63" i="3" s="1"/>
  <c r="AW62" i="3"/>
  <c r="AX62" i="3" s="1"/>
  <c r="AW61" i="3"/>
  <c r="AX61" i="3" s="1"/>
  <c r="AW60" i="3"/>
  <c r="AX60" i="3" s="1"/>
  <c r="AW59" i="3"/>
  <c r="AX59" i="3" s="1"/>
  <c r="AW58" i="3"/>
  <c r="AX58" i="3" s="1"/>
  <c r="AW57" i="3"/>
  <c r="AX57" i="3" s="1"/>
  <c r="AW56" i="3"/>
  <c r="AX56" i="3" s="1"/>
  <c r="AW55" i="3"/>
  <c r="AX55" i="3" s="1"/>
  <c r="AW54" i="3"/>
  <c r="AX54" i="3" s="1"/>
  <c r="AW53" i="3"/>
  <c r="AX53" i="3" s="1"/>
  <c r="AW52" i="3"/>
  <c r="AX52" i="3" s="1"/>
  <c r="AW50" i="3"/>
  <c r="AX50" i="3" s="1"/>
  <c r="AW49" i="3"/>
  <c r="AX49" i="3" s="1"/>
  <c r="AW48" i="3"/>
  <c r="AX48" i="3" s="1"/>
  <c r="AW47" i="3"/>
  <c r="AX47" i="3" s="1"/>
  <c r="AW46" i="3"/>
  <c r="AX46" i="3" s="1"/>
  <c r="AW45" i="3"/>
  <c r="AX45" i="3" s="1"/>
  <c r="AW44" i="3"/>
  <c r="AX44" i="3" s="1"/>
  <c r="AW43" i="3"/>
  <c r="AX43" i="3" s="1"/>
  <c r="AW42" i="3"/>
  <c r="AX42" i="3" s="1"/>
  <c r="AW41" i="3"/>
  <c r="AX41" i="3" s="1"/>
  <c r="AW40" i="3"/>
  <c r="AX40" i="3" s="1"/>
  <c r="AW39" i="3"/>
  <c r="AX39" i="3" s="1"/>
  <c r="AW38" i="3"/>
  <c r="AX38" i="3" s="1"/>
  <c r="AW36" i="3"/>
  <c r="AX36" i="3" s="1"/>
  <c r="AW35" i="3"/>
  <c r="AX35" i="3" s="1"/>
  <c r="AW34" i="3"/>
  <c r="AX34" i="3" s="1"/>
  <c r="AW33" i="3"/>
  <c r="AX33" i="3" s="1"/>
  <c r="AW32" i="3"/>
  <c r="AX32" i="3" s="1"/>
  <c r="AW31" i="3"/>
  <c r="AX31" i="3" s="1"/>
  <c r="AW30" i="3"/>
  <c r="AX30" i="3" s="1"/>
  <c r="AW29" i="3"/>
  <c r="AX29" i="3" s="1"/>
  <c r="AW28" i="3"/>
  <c r="AX28" i="3" s="1"/>
  <c r="AW27" i="3"/>
  <c r="AX27" i="3" s="1"/>
  <c r="AW26" i="3"/>
  <c r="AX26" i="3" s="1"/>
  <c r="AW25" i="3"/>
  <c r="AW24" i="3"/>
  <c r="AX24" i="3" s="1"/>
  <c r="AW22" i="3"/>
  <c r="AX22" i="3" s="1"/>
  <c r="AW21" i="3"/>
  <c r="AX21" i="3" s="1"/>
  <c r="AW20" i="3"/>
  <c r="AX20" i="3" s="1"/>
  <c r="AW19" i="3"/>
  <c r="AX19" i="3" s="1"/>
  <c r="AW18" i="3"/>
  <c r="AX18" i="3" s="1"/>
  <c r="AW17" i="3"/>
  <c r="AX17" i="3" s="1"/>
  <c r="AW16" i="3"/>
  <c r="AX16" i="3" s="1"/>
  <c r="AW15" i="3"/>
  <c r="AX15" i="3" s="1"/>
  <c r="AW14" i="3"/>
  <c r="AX14" i="3" s="1"/>
  <c r="AW13" i="3"/>
  <c r="AX13" i="3" s="1"/>
  <c r="AW12" i="3"/>
  <c r="AX12" i="3" s="1"/>
  <c r="AW11" i="3"/>
  <c r="AX11" i="3" s="1"/>
  <c r="AW10" i="3"/>
  <c r="AX10" i="3" s="1"/>
  <c r="AT9" i="3"/>
  <c r="Y9" i="3"/>
  <c r="AM9" i="3"/>
  <c r="R9" i="3"/>
  <c r="AF9" i="3" s="1"/>
  <c r="BJ8" i="3"/>
  <c r="BI8" i="3"/>
  <c r="BH8" i="3"/>
  <c r="BG8" i="3"/>
  <c r="BF8" i="3"/>
  <c r="B69"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R62" i="12"/>
  <c r="Q62" i="12"/>
  <c r="P62" i="12"/>
  <c r="O62" i="12"/>
  <c r="N62" i="12"/>
  <c r="M62" i="12"/>
  <c r="L62" i="12"/>
  <c r="K62" i="12"/>
  <c r="J62" i="12"/>
  <c r="I62" i="12"/>
  <c r="H62" i="12"/>
  <c r="G62" i="12"/>
  <c r="F62" i="12"/>
  <c r="E62" i="12"/>
  <c r="D62" i="12"/>
  <c r="P31" i="12"/>
  <c r="B27" i="12"/>
  <c r="C13" i="12"/>
  <c r="A70" i="11"/>
  <c r="A69" i="11"/>
  <c r="J60" i="8"/>
  <c r="C68" i="11" s="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8" i="11"/>
  <c r="A17" i="11"/>
  <c r="A16" i="11"/>
  <c r="A15" i="11"/>
  <c r="A14" i="11"/>
  <c r="A13" i="11"/>
  <c r="A12" i="11"/>
  <c r="C5" i="11"/>
  <c r="C9" i="11" s="1"/>
  <c r="C4" i="11"/>
  <c r="C8" i="11" s="1"/>
  <c r="C3" i="11"/>
  <c r="C7" i="11" s="1"/>
  <c r="U53" i="9"/>
  <c r="Q53" i="9"/>
  <c r="J52" i="9"/>
  <c r="J50" i="9"/>
  <c r="F19" i="6"/>
  <c r="E19" i="6"/>
  <c r="F20" i="6"/>
  <c r="E20" i="6"/>
  <c r="F21" i="6"/>
  <c r="E21" i="6"/>
  <c r="F22" i="6"/>
  <c r="E22" i="6"/>
  <c r="F23" i="6"/>
  <c r="E23" i="6"/>
  <c r="F24" i="6"/>
  <c r="E24" i="6"/>
  <c r="F25" i="6"/>
  <c r="E25" i="6"/>
  <c r="F32" i="6"/>
  <c r="E32" i="6"/>
  <c r="F33" i="6"/>
  <c r="E33" i="6"/>
  <c r="F37" i="6"/>
  <c r="E37" i="6"/>
  <c r="F38" i="6"/>
  <c r="E38" i="6"/>
  <c r="F39" i="6"/>
  <c r="E39" i="6"/>
  <c r="E16" i="9"/>
  <c r="K14" i="9"/>
  <c r="K13" i="9"/>
  <c r="E13" i="9"/>
  <c r="K12" i="9"/>
  <c r="J12" i="9"/>
  <c r="I11" i="9"/>
  <c r="I8" i="9"/>
  <c r="Z3" i="9"/>
  <c r="Z4" i="9"/>
  <c r="Z5" i="9"/>
  <c r="Z6" i="9"/>
  <c r="Z7" i="9"/>
  <c r="U7" i="9"/>
  <c r="N7" i="9"/>
  <c r="G7" i="9"/>
  <c r="C7" i="9"/>
  <c r="G6" i="9"/>
  <c r="C6" i="9"/>
  <c r="I5" i="9"/>
  <c r="C5" i="9"/>
  <c r="H4" i="9"/>
  <c r="C4" i="9"/>
  <c r="D3" i="9"/>
  <c r="N2" i="9"/>
  <c r="C452" i="5"/>
  <c r="C451" i="5"/>
  <c r="C450" i="5"/>
  <c r="C449" i="5"/>
  <c r="C448" i="5"/>
  <c r="C447" i="5"/>
  <c r="C446" i="5"/>
  <c r="C445" i="5"/>
  <c r="C444" i="5"/>
  <c r="C443" i="5"/>
  <c r="C442" i="5"/>
  <c r="C441" i="5"/>
  <c r="C440" i="5"/>
  <c r="C439" i="5"/>
  <c r="C438" i="5"/>
  <c r="C437" i="5"/>
  <c r="C436" i="5"/>
  <c r="C435" i="5"/>
  <c r="C434" i="5"/>
  <c r="C433" i="5"/>
  <c r="C432" i="5"/>
  <c r="C431" i="5"/>
  <c r="C430" i="5"/>
  <c r="C429" i="5"/>
  <c r="C428" i="5"/>
  <c r="C427" i="5"/>
  <c r="C426" i="5"/>
  <c r="C425" i="5"/>
  <c r="C424" i="5"/>
  <c r="C423" i="5"/>
  <c r="C422" i="5"/>
  <c r="C421" i="5"/>
  <c r="C420" i="5"/>
  <c r="C419" i="5"/>
  <c r="C418" i="5"/>
  <c r="C417" i="5"/>
  <c r="C416" i="5"/>
  <c r="C415" i="5"/>
  <c r="C414" i="5"/>
  <c r="C413" i="5"/>
  <c r="C412" i="5"/>
  <c r="C411" i="5"/>
  <c r="C410" i="5"/>
  <c r="C409" i="5"/>
  <c r="C408" i="5"/>
  <c r="C407" i="5"/>
  <c r="C406" i="5"/>
  <c r="C405" i="5"/>
  <c r="C404" i="5"/>
  <c r="C403" i="5"/>
  <c r="C402" i="5"/>
  <c r="C401" i="5"/>
  <c r="C400" i="5"/>
  <c r="C399" i="5"/>
  <c r="C398" i="5"/>
  <c r="C397" i="5"/>
  <c r="C396" i="5"/>
  <c r="C395" i="5"/>
  <c r="C394" i="5"/>
  <c r="C393" i="5"/>
  <c r="C392" i="5"/>
  <c r="C391" i="5"/>
  <c r="C390" i="5"/>
  <c r="C389" i="5"/>
  <c r="C388" i="5"/>
  <c r="C387" i="5"/>
  <c r="C386" i="5"/>
  <c r="C385" i="5"/>
  <c r="C384" i="5"/>
  <c r="C383" i="5"/>
  <c r="C382" i="5"/>
  <c r="C381" i="5"/>
  <c r="C380" i="5"/>
  <c r="C379" i="5"/>
  <c r="C378" i="5"/>
  <c r="C377" i="5"/>
  <c r="C376" i="5"/>
  <c r="C375" i="5"/>
  <c r="C374" i="5"/>
  <c r="C373" i="5"/>
  <c r="C372" i="5"/>
  <c r="C371" i="5"/>
  <c r="C370" i="5"/>
  <c r="C369" i="5"/>
  <c r="C368" i="5"/>
  <c r="C367" i="5"/>
  <c r="C366" i="5"/>
  <c r="C365" i="5"/>
  <c r="C364" i="5"/>
  <c r="C363" i="5"/>
  <c r="C362" i="5"/>
  <c r="C361" i="5"/>
  <c r="C360" i="5"/>
  <c r="C359" i="5"/>
  <c r="C358" i="5"/>
  <c r="C357" i="5"/>
  <c r="C356" i="5"/>
  <c r="C355" i="5"/>
  <c r="C354" i="5"/>
  <c r="C353" i="5"/>
  <c r="C352" i="5"/>
  <c r="C351" i="5"/>
  <c r="C350" i="5"/>
  <c r="C349" i="5"/>
  <c r="C348" i="5"/>
  <c r="C347" i="5"/>
  <c r="C346" i="5"/>
  <c r="C345" i="5"/>
  <c r="C344" i="5"/>
  <c r="C343" i="5"/>
  <c r="C342" i="5"/>
  <c r="C341" i="5"/>
  <c r="C340" i="5"/>
  <c r="C339" i="5"/>
  <c r="C338" i="5"/>
  <c r="C337" i="5"/>
  <c r="C336" i="5"/>
  <c r="C335" i="5"/>
  <c r="C334" i="5"/>
  <c r="C333" i="5"/>
  <c r="C332" i="5"/>
  <c r="C331" i="5"/>
  <c r="C330" i="5"/>
  <c r="C329" i="5"/>
  <c r="C328" i="5"/>
  <c r="C327" i="5"/>
  <c r="C326" i="5"/>
  <c r="C325" i="5"/>
  <c r="C324" i="5"/>
  <c r="C323" i="5"/>
  <c r="C322" i="5"/>
  <c r="C321" i="5"/>
  <c r="C320" i="5"/>
  <c r="C319" i="5"/>
  <c r="C318" i="5"/>
  <c r="C317" i="5"/>
  <c r="C316" i="5"/>
  <c r="C315" i="5"/>
  <c r="C314" i="5"/>
  <c r="C313" i="5"/>
  <c r="C312" i="5"/>
  <c r="C311" i="5"/>
  <c r="C310" i="5"/>
  <c r="C309" i="5"/>
  <c r="C308" i="5"/>
  <c r="C307" i="5"/>
  <c r="C306" i="5"/>
  <c r="C305" i="5"/>
  <c r="C304" i="5"/>
  <c r="C303" i="5"/>
  <c r="C302" i="5"/>
  <c r="C301" i="5"/>
  <c r="C30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C255" i="5"/>
  <c r="C254" i="5"/>
  <c r="C253" i="5"/>
  <c r="C252" i="5"/>
  <c r="C251" i="5"/>
  <c r="C250" i="5"/>
  <c r="C249" i="5"/>
  <c r="C248" i="5"/>
  <c r="C247" i="5"/>
  <c r="C246" i="5"/>
  <c r="C245" i="5"/>
  <c r="C244" i="5"/>
  <c r="C243" i="5"/>
  <c r="C242" i="5"/>
  <c r="C241" i="5"/>
  <c r="C240" i="5"/>
  <c r="C239" i="5"/>
  <c r="C238" i="5"/>
  <c r="C237" i="5"/>
  <c r="C236" i="5"/>
  <c r="C235" i="5"/>
  <c r="C234" i="5"/>
  <c r="C233" i="5"/>
  <c r="C232" i="5"/>
  <c r="C231" i="5"/>
  <c r="C230" i="5"/>
  <c r="C229" i="5"/>
  <c r="C228" i="5"/>
  <c r="C227" i="5"/>
  <c r="C226" i="5"/>
  <c r="C225" i="5"/>
  <c r="B225" i="5"/>
  <c r="A225" i="5"/>
  <c r="C224" i="5"/>
  <c r="B224" i="5"/>
  <c r="A224" i="5"/>
  <c r="C223" i="5"/>
  <c r="B223" i="5"/>
  <c r="A223" i="5"/>
  <c r="C222" i="5"/>
  <c r="B222" i="5"/>
  <c r="A222" i="5"/>
  <c r="C221" i="5"/>
  <c r="B221" i="5"/>
  <c r="A221" i="5"/>
  <c r="C220" i="5"/>
  <c r="B220" i="5"/>
  <c r="A220" i="5"/>
  <c r="C219" i="5"/>
  <c r="B219" i="5"/>
  <c r="A219" i="5"/>
  <c r="C218" i="5"/>
  <c r="B218" i="5"/>
  <c r="A218" i="5"/>
  <c r="C217" i="5"/>
  <c r="B217" i="5"/>
  <c r="A217" i="5"/>
  <c r="C216" i="5"/>
  <c r="B216" i="5"/>
  <c r="A216" i="5"/>
  <c r="C215" i="5"/>
  <c r="B215" i="5"/>
  <c r="A215" i="5"/>
  <c r="C214" i="5"/>
  <c r="B214" i="5"/>
  <c r="A214" i="5"/>
  <c r="C213" i="5"/>
  <c r="B213" i="5"/>
  <c r="A213" i="5"/>
  <c r="C212" i="5"/>
  <c r="B212" i="5"/>
  <c r="A212" i="5"/>
  <c r="C211" i="5"/>
  <c r="B211" i="5"/>
  <c r="A211" i="5"/>
  <c r="C210" i="5"/>
  <c r="B210" i="5"/>
  <c r="A210" i="5"/>
  <c r="C209" i="5"/>
  <c r="B209" i="5"/>
  <c r="A209" i="5"/>
  <c r="C208" i="5"/>
  <c r="B208" i="5"/>
  <c r="A208" i="5"/>
  <c r="C207" i="5"/>
  <c r="B207" i="5"/>
  <c r="A207" i="5"/>
  <c r="C206" i="5"/>
  <c r="B206" i="5"/>
  <c r="A206" i="5"/>
  <c r="C205" i="5"/>
  <c r="B205" i="5"/>
  <c r="A205" i="5"/>
  <c r="C204" i="5"/>
  <c r="B204" i="5"/>
  <c r="A204" i="5"/>
  <c r="C203" i="5"/>
  <c r="B203" i="5"/>
  <c r="A203" i="5"/>
  <c r="C202" i="5"/>
  <c r="B202" i="5"/>
  <c r="A202" i="5"/>
  <c r="C201" i="5"/>
  <c r="B201" i="5"/>
  <c r="A201" i="5"/>
  <c r="C200" i="5"/>
  <c r="B200" i="5"/>
  <c r="A200" i="5"/>
  <c r="C199" i="5"/>
  <c r="B199" i="5"/>
  <c r="A199" i="5"/>
  <c r="C198" i="5"/>
  <c r="B198" i="5"/>
  <c r="A198" i="5"/>
  <c r="C197" i="5"/>
  <c r="B197" i="5"/>
  <c r="A197" i="5"/>
  <c r="C196" i="5"/>
  <c r="B196" i="5"/>
  <c r="A196" i="5"/>
  <c r="C195" i="5"/>
  <c r="B195" i="5"/>
  <c r="A195" i="5"/>
  <c r="C194" i="5"/>
  <c r="B194" i="5"/>
  <c r="A194" i="5"/>
  <c r="C193" i="5"/>
  <c r="B193" i="5"/>
  <c r="A193" i="5"/>
  <c r="C192" i="5"/>
  <c r="B192" i="5"/>
  <c r="A192" i="5"/>
  <c r="C191" i="5"/>
  <c r="B191" i="5"/>
  <c r="A191" i="5"/>
  <c r="C190" i="5"/>
  <c r="B190" i="5"/>
  <c r="A190" i="5"/>
  <c r="C189" i="5"/>
  <c r="B189" i="5"/>
  <c r="A189" i="5"/>
  <c r="C188" i="5"/>
  <c r="B188" i="5"/>
  <c r="A188" i="5"/>
  <c r="C187" i="5"/>
  <c r="B187" i="5"/>
  <c r="A187" i="5"/>
  <c r="C186" i="5"/>
  <c r="B186" i="5"/>
  <c r="A186" i="5"/>
  <c r="C185" i="5"/>
  <c r="B185" i="5"/>
  <c r="A185" i="5"/>
  <c r="C184" i="5"/>
  <c r="B184" i="5"/>
  <c r="A184" i="5"/>
  <c r="C183" i="5"/>
  <c r="B183" i="5"/>
  <c r="A183" i="5"/>
  <c r="C182" i="5"/>
  <c r="B182" i="5"/>
  <c r="A182" i="5"/>
  <c r="C181" i="5"/>
  <c r="B181" i="5"/>
  <c r="A181" i="5"/>
  <c r="C180" i="5"/>
  <c r="B180" i="5"/>
  <c r="A180" i="5"/>
  <c r="C179" i="5"/>
  <c r="B179" i="5"/>
  <c r="A179" i="5"/>
  <c r="C178" i="5"/>
  <c r="B178" i="5"/>
  <c r="A178" i="5"/>
  <c r="C177" i="5"/>
  <c r="B177" i="5"/>
  <c r="A177" i="5"/>
  <c r="C176" i="5"/>
  <c r="B176" i="5"/>
  <c r="A176" i="5"/>
  <c r="C175" i="5"/>
  <c r="B175" i="5"/>
  <c r="A175" i="5"/>
  <c r="C174" i="5"/>
  <c r="B174" i="5"/>
  <c r="A174" i="5"/>
  <c r="C173" i="5"/>
  <c r="B173" i="5"/>
  <c r="A173" i="5"/>
  <c r="C172" i="5"/>
  <c r="B172" i="5"/>
  <c r="A172" i="5"/>
  <c r="C171" i="5"/>
  <c r="B171" i="5"/>
  <c r="A171" i="5"/>
  <c r="C170" i="5"/>
  <c r="B170" i="5"/>
  <c r="A170" i="5"/>
  <c r="C169" i="5"/>
  <c r="B169" i="5"/>
  <c r="A169" i="5"/>
  <c r="C168" i="5"/>
  <c r="B168" i="5"/>
  <c r="A168" i="5"/>
  <c r="C167" i="5"/>
  <c r="B167" i="5"/>
  <c r="A167" i="5"/>
  <c r="C166" i="5"/>
  <c r="B166" i="5"/>
  <c r="A166" i="5"/>
  <c r="C165" i="5"/>
  <c r="B165" i="5"/>
  <c r="A165" i="5"/>
  <c r="C164" i="5"/>
  <c r="B164" i="5"/>
  <c r="A164" i="5"/>
  <c r="C163" i="5"/>
  <c r="B163" i="5"/>
  <c r="A163" i="5"/>
  <c r="C162" i="5"/>
  <c r="B162" i="5"/>
  <c r="A162" i="5"/>
  <c r="C161" i="5"/>
  <c r="B161" i="5"/>
  <c r="A161" i="5"/>
  <c r="C160" i="5"/>
  <c r="B160" i="5"/>
  <c r="A160" i="5"/>
  <c r="C159" i="5"/>
  <c r="B159" i="5"/>
  <c r="A159" i="5"/>
  <c r="C158" i="5"/>
  <c r="B158" i="5"/>
  <c r="A158" i="5"/>
  <c r="C157" i="5"/>
  <c r="B157" i="5"/>
  <c r="A157" i="5"/>
  <c r="C156" i="5"/>
  <c r="B156" i="5"/>
  <c r="A156" i="5"/>
  <c r="C155" i="5"/>
  <c r="B155" i="5"/>
  <c r="A155" i="5"/>
  <c r="C154" i="5"/>
  <c r="B154" i="5"/>
  <c r="A154" i="5"/>
  <c r="C153" i="5"/>
  <c r="B153" i="5"/>
  <c r="A153" i="5"/>
  <c r="C152" i="5"/>
  <c r="B152" i="5"/>
  <c r="A152" i="5"/>
  <c r="C151" i="5"/>
  <c r="B151" i="5"/>
  <c r="A151" i="5"/>
  <c r="C150" i="5"/>
  <c r="B150" i="5"/>
  <c r="A150" i="5"/>
  <c r="C149" i="5"/>
  <c r="B149" i="5"/>
  <c r="A149" i="5"/>
  <c r="C148" i="5"/>
  <c r="B148" i="5"/>
  <c r="A148" i="5"/>
  <c r="C147" i="5"/>
  <c r="B147" i="5"/>
  <c r="A147" i="5"/>
  <c r="C146" i="5"/>
  <c r="B146" i="5"/>
  <c r="A146" i="5"/>
  <c r="C145" i="5"/>
  <c r="B145" i="5"/>
  <c r="A145" i="5"/>
  <c r="C144" i="5"/>
  <c r="B144" i="5"/>
  <c r="A144" i="5"/>
  <c r="C143" i="5"/>
  <c r="B143" i="5"/>
  <c r="A143" i="5"/>
  <c r="C142" i="5"/>
  <c r="B142" i="5"/>
  <c r="A142" i="5"/>
  <c r="C141" i="5"/>
  <c r="B141" i="5"/>
  <c r="A141" i="5"/>
  <c r="A139" i="5"/>
  <c r="A137" i="5"/>
  <c r="A136" i="5"/>
  <c r="C135" i="5"/>
  <c r="C134" i="5"/>
  <c r="B134" i="5"/>
  <c r="A134" i="5"/>
  <c r="C132" i="5"/>
  <c r="B132" i="5"/>
  <c r="A132" i="5"/>
  <c r="A131" i="5"/>
  <c r="A130" i="5"/>
  <c r="B129" i="5"/>
  <c r="A129" i="5"/>
  <c r="B128" i="5"/>
  <c r="A128" i="5"/>
  <c r="B127" i="5"/>
  <c r="A127" i="5"/>
  <c r="B126" i="5"/>
  <c r="A126" i="5"/>
  <c r="A125" i="5"/>
  <c r="B124" i="5"/>
  <c r="A124" i="5"/>
  <c r="B123" i="5"/>
  <c r="A123" i="5"/>
  <c r="A122" i="5"/>
  <c r="B121" i="5"/>
  <c r="A121" i="5"/>
  <c r="B120" i="5"/>
  <c r="A120" i="5"/>
  <c r="B119" i="5"/>
  <c r="A119" i="5"/>
  <c r="B118" i="5"/>
  <c r="A118" i="5"/>
  <c r="A117" i="5"/>
  <c r="B116" i="5"/>
  <c r="A116" i="5"/>
  <c r="B115" i="5"/>
  <c r="A115" i="5"/>
  <c r="B114" i="5"/>
  <c r="A114" i="5"/>
  <c r="B113" i="5"/>
  <c r="A113" i="5"/>
  <c r="A112" i="5"/>
  <c r="A111" i="5"/>
  <c r="B110" i="5"/>
  <c r="A110" i="5"/>
  <c r="B109" i="5"/>
  <c r="A109" i="5"/>
  <c r="B108" i="5"/>
  <c r="A108" i="5"/>
  <c r="B107" i="5"/>
  <c r="A107" i="5"/>
  <c r="A106" i="5"/>
  <c r="B105" i="5"/>
  <c r="A105" i="5"/>
  <c r="B104" i="5"/>
  <c r="A104" i="5"/>
  <c r="B103" i="5"/>
  <c r="A103" i="5"/>
  <c r="B102" i="5"/>
  <c r="A102" i="5"/>
  <c r="A101" i="5"/>
  <c r="B100" i="5"/>
  <c r="A100" i="5"/>
  <c r="B99" i="5"/>
  <c r="A99" i="5"/>
  <c r="B98" i="5"/>
  <c r="A98" i="5"/>
  <c r="B97" i="5"/>
  <c r="A97" i="5"/>
  <c r="B96" i="5"/>
  <c r="A96" i="5"/>
  <c r="A95" i="5"/>
  <c r="B94" i="5"/>
  <c r="A94" i="5"/>
  <c r="A93" i="5"/>
  <c r="B92" i="5"/>
  <c r="A92" i="5"/>
  <c r="B91" i="5"/>
  <c r="A91" i="5"/>
  <c r="B90" i="5"/>
  <c r="A90" i="5"/>
  <c r="B89" i="5"/>
  <c r="A89" i="5"/>
  <c r="B88" i="5"/>
  <c r="A88" i="5"/>
  <c r="B87" i="5"/>
  <c r="A87" i="5"/>
  <c r="B86" i="5"/>
  <c r="A86" i="5"/>
  <c r="B85" i="5"/>
  <c r="A85" i="5"/>
  <c r="B84" i="5"/>
  <c r="A84" i="5"/>
  <c r="B83" i="5"/>
  <c r="A83" i="5"/>
  <c r="B82" i="5"/>
  <c r="A82" i="5"/>
  <c r="B81" i="5"/>
  <c r="A81" i="5"/>
  <c r="B80" i="5"/>
  <c r="A80" i="5"/>
  <c r="B79" i="5"/>
  <c r="A79" i="5"/>
  <c r="A78" i="5"/>
  <c r="B77" i="5"/>
  <c r="A77" i="5"/>
  <c r="B76" i="5"/>
  <c r="A76" i="5"/>
  <c r="B75" i="5"/>
  <c r="A75" i="5"/>
  <c r="B74" i="5"/>
  <c r="A74" i="5"/>
  <c r="B73" i="5"/>
  <c r="A73" i="5"/>
  <c r="B72"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B14" i="5"/>
  <c r="A14" i="5"/>
  <c r="A13" i="5"/>
  <c r="B12" i="5"/>
  <c r="A12" i="5"/>
  <c r="B11" i="5"/>
  <c r="A11" i="5"/>
  <c r="B10" i="5"/>
  <c r="A10" i="5"/>
  <c r="B9" i="5"/>
  <c r="A9" i="5"/>
  <c r="B8" i="5"/>
  <c r="A8" i="5"/>
  <c r="B7" i="5"/>
  <c r="A7" i="5"/>
  <c r="B6" i="5"/>
  <c r="A6" i="5"/>
  <c r="B5" i="5"/>
  <c r="A5" i="5"/>
  <c r="B4" i="5"/>
  <c r="A4" i="5"/>
  <c r="F94" i="6"/>
  <c r="E94" i="6"/>
  <c r="C94" i="6"/>
  <c r="A94" i="6"/>
  <c r="F93" i="6"/>
  <c r="E93" i="6"/>
  <c r="C93" i="6"/>
  <c r="A93" i="6"/>
  <c r="F92" i="6"/>
  <c r="E92" i="6"/>
  <c r="C92" i="6"/>
  <c r="A92" i="6"/>
  <c r="F91" i="6"/>
  <c r="E91" i="6"/>
  <c r="C91" i="6"/>
  <c r="A91" i="6"/>
  <c r="F90" i="6"/>
  <c r="E90" i="6"/>
  <c r="C90" i="6"/>
  <c r="A90" i="6"/>
  <c r="F89" i="6"/>
  <c r="E89" i="6"/>
  <c r="C89" i="6"/>
  <c r="A89" i="6"/>
  <c r="F88" i="6"/>
  <c r="E88" i="6"/>
  <c r="C88" i="6"/>
  <c r="A88" i="6"/>
  <c r="F87" i="6"/>
  <c r="E87" i="6"/>
  <c r="C87" i="6"/>
  <c r="A87" i="6"/>
  <c r="F86" i="6"/>
  <c r="E86" i="6"/>
  <c r="C86" i="6"/>
  <c r="A86" i="6"/>
  <c r="F85" i="6"/>
  <c r="E85" i="6"/>
  <c r="C85" i="6"/>
  <c r="A85" i="6"/>
  <c r="F84" i="6"/>
  <c r="E84" i="6"/>
  <c r="C84" i="6"/>
  <c r="A84" i="6"/>
  <c r="F83" i="6"/>
  <c r="E83" i="6"/>
  <c r="C83" i="6"/>
  <c r="A83" i="6"/>
  <c r="F82" i="6"/>
  <c r="E82" i="6"/>
  <c r="C82" i="6"/>
  <c r="A82" i="6"/>
  <c r="F81" i="6"/>
  <c r="E81" i="6"/>
  <c r="C81" i="6"/>
  <c r="A81" i="6"/>
  <c r="F80" i="6"/>
  <c r="E80" i="6"/>
  <c r="C80" i="6"/>
  <c r="A80" i="6"/>
  <c r="F79" i="6"/>
  <c r="E79" i="6"/>
  <c r="C79" i="6"/>
  <c r="A79" i="6"/>
  <c r="F78" i="6"/>
  <c r="E78" i="6"/>
  <c r="C78" i="6"/>
  <c r="A78" i="6"/>
  <c r="F77" i="6"/>
  <c r="E77" i="6"/>
  <c r="C77" i="6"/>
  <c r="A77" i="6"/>
  <c r="F76" i="6"/>
  <c r="E76" i="6"/>
  <c r="C76" i="6"/>
  <c r="A76" i="6"/>
  <c r="F75" i="6"/>
  <c r="E75" i="6"/>
  <c r="C75" i="6"/>
  <c r="A75" i="6"/>
  <c r="F74" i="6"/>
  <c r="E74" i="6"/>
  <c r="C74" i="6"/>
  <c r="A74" i="6"/>
  <c r="F73" i="6"/>
  <c r="E73" i="6"/>
  <c r="C73" i="6"/>
  <c r="A73" i="6"/>
  <c r="F72" i="6"/>
  <c r="E72" i="6"/>
  <c r="C72" i="6"/>
  <c r="A72" i="6"/>
  <c r="F71" i="6"/>
  <c r="E71" i="6"/>
  <c r="C71" i="6"/>
  <c r="A71" i="6"/>
  <c r="F70" i="6"/>
  <c r="E70" i="6"/>
  <c r="C70" i="6"/>
  <c r="A70" i="6"/>
  <c r="F69" i="6"/>
  <c r="E69" i="6"/>
  <c r="C69" i="6"/>
  <c r="A69" i="6"/>
  <c r="F68" i="6"/>
  <c r="E68" i="6"/>
  <c r="C68" i="6"/>
  <c r="A68" i="6"/>
  <c r="F67" i="6"/>
  <c r="E67" i="6"/>
  <c r="C67" i="6"/>
  <c r="A67" i="6"/>
  <c r="F66" i="6"/>
  <c r="E66" i="6"/>
  <c r="C66" i="6"/>
  <c r="A66" i="6"/>
  <c r="F65" i="6"/>
  <c r="E65" i="6"/>
  <c r="C65" i="6"/>
  <c r="A65" i="6"/>
  <c r="F64" i="6"/>
  <c r="E64" i="6"/>
  <c r="C64" i="6"/>
  <c r="A64" i="6"/>
  <c r="F63" i="6"/>
  <c r="E63" i="6"/>
  <c r="C63" i="6"/>
  <c r="A63" i="6"/>
  <c r="F62" i="6"/>
  <c r="E62" i="6"/>
  <c r="C62" i="6"/>
  <c r="A62" i="6"/>
  <c r="F61" i="6"/>
  <c r="E61" i="6"/>
  <c r="C61" i="6"/>
  <c r="A61" i="6"/>
  <c r="F60" i="6"/>
  <c r="E60" i="6"/>
  <c r="C60" i="6"/>
  <c r="A60" i="6"/>
  <c r="F59" i="6"/>
  <c r="E59" i="6"/>
  <c r="C59" i="6"/>
  <c r="A59" i="6"/>
  <c r="F58" i="6"/>
  <c r="E58" i="6"/>
  <c r="C58" i="6"/>
  <c r="A58" i="6"/>
  <c r="F57" i="6"/>
  <c r="E57" i="6"/>
  <c r="C57" i="6"/>
  <c r="A57" i="6"/>
  <c r="F56" i="6"/>
  <c r="E56" i="6"/>
  <c r="C56" i="6"/>
  <c r="A56" i="6"/>
  <c r="F55" i="6"/>
  <c r="E55" i="6"/>
  <c r="C55" i="6"/>
  <c r="A55" i="6"/>
  <c r="F54" i="6"/>
  <c r="E54" i="6"/>
  <c r="C54" i="6"/>
  <c r="A54" i="6"/>
  <c r="F53" i="6"/>
  <c r="E53" i="6"/>
  <c r="C53" i="6"/>
  <c r="A53" i="6"/>
  <c r="F52" i="6"/>
  <c r="E52" i="6"/>
  <c r="C52" i="6"/>
  <c r="A52" i="6"/>
  <c r="F51" i="6"/>
  <c r="E51" i="6"/>
  <c r="C51" i="6"/>
  <c r="A51" i="6"/>
  <c r="F50" i="6"/>
  <c r="E50" i="6"/>
  <c r="C50" i="6"/>
  <c r="A50" i="6"/>
  <c r="F49" i="6"/>
  <c r="E49" i="6"/>
  <c r="C49" i="6"/>
  <c r="A49" i="6"/>
  <c r="F48" i="6"/>
  <c r="E48" i="6"/>
  <c r="C48" i="6"/>
  <c r="A48" i="6"/>
  <c r="F47" i="6"/>
  <c r="E47" i="6"/>
  <c r="C47" i="6"/>
  <c r="A47" i="6"/>
  <c r="F46" i="6"/>
  <c r="E46" i="6"/>
  <c r="C46" i="6"/>
  <c r="A46" i="6"/>
  <c r="F45" i="6"/>
  <c r="E45" i="6"/>
  <c r="C45" i="6"/>
  <c r="A45" i="6"/>
  <c r="F44" i="6"/>
  <c r="E44" i="6"/>
  <c r="C44" i="6"/>
  <c r="A44" i="6"/>
  <c r="F43" i="6"/>
  <c r="E43" i="6"/>
  <c r="C43" i="6"/>
  <c r="A43" i="6"/>
  <c r="F42" i="6"/>
  <c r="E42" i="6"/>
  <c r="C42" i="6"/>
  <c r="A42" i="6"/>
  <c r="F41" i="6"/>
  <c r="E41" i="6"/>
  <c r="C41" i="6"/>
  <c r="A41" i="6"/>
  <c r="F40" i="6"/>
  <c r="E40" i="6"/>
  <c r="C40" i="6"/>
  <c r="A40" i="6"/>
  <c r="C39" i="6"/>
  <c r="A39" i="6"/>
  <c r="C38" i="6"/>
  <c r="A38" i="6"/>
  <c r="C37" i="6"/>
  <c r="A37" i="6"/>
  <c r="F36" i="6"/>
  <c r="E36" i="6"/>
  <c r="C36" i="6"/>
  <c r="A36" i="6"/>
  <c r="F35" i="6"/>
  <c r="E35" i="6"/>
  <c r="C35" i="6"/>
  <c r="A35" i="6"/>
  <c r="F34" i="6"/>
  <c r="E34" i="6"/>
  <c r="C34" i="6"/>
  <c r="A34" i="6"/>
  <c r="C33" i="6"/>
  <c r="A33" i="6"/>
  <c r="C32" i="6"/>
  <c r="A32" i="6"/>
  <c r="C31" i="6"/>
  <c r="A31" i="6"/>
  <c r="C30" i="6"/>
  <c r="A30" i="6"/>
  <c r="F29" i="6"/>
  <c r="E29" i="6"/>
  <c r="C29" i="6"/>
  <c r="A29" i="6"/>
  <c r="F28" i="6"/>
  <c r="E28" i="6"/>
  <c r="C28" i="6"/>
  <c r="A28" i="6"/>
  <c r="F27" i="6"/>
  <c r="E27" i="6"/>
  <c r="C27" i="6"/>
  <c r="A27" i="6"/>
  <c r="F26" i="6"/>
  <c r="E26" i="6"/>
  <c r="C26" i="6"/>
  <c r="A26" i="6"/>
  <c r="C25" i="6"/>
  <c r="A25" i="6"/>
  <c r="C24" i="6"/>
  <c r="A24" i="6"/>
  <c r="C23" i="6"/>
  <c r="A23" i="6"/>
  <c r="C22" i="6"/>
  <c r="A22" i="6"/>
  <c r="C21" i="6"/>
  <c r="A21" i="6"/>
  <c r="C20" i="6"/>
  <c r="A20" i="6"/>
  <c r="C19" i="6"/>
  <c r="A19" i="6"/>
  <c r="C18" i="6"/>
  <c r="A18" i="6"/>
  <c r="C17" i="6"/>
  <c r="A17" i="6"/>
  <c r="B1" i="2"/>
  <c r="F66" i="12"/>
  <c r="G66" i="12" s="1"/>
  <c r="H66" i="12" s="1"/>
  <c r="I66" i="12" s="1"/>
  <c r="J66" i="12" s="1"/>
  <c r="K66" i="12" s="1"/>
  <c r="L66" i="12" s="1"/>
  <c r="M66" i="12" s="1"/>
  <c r="N66" i="12" s="1"/>
  <c r="O66" i="12" s="1"/>
  <c r="P66" i="12" s="1"/>
  <c r="Q66" i="12" s="1"/>
  <c r="R66" i="12" s="1"/>
  <c r="S66" i="12" s="1"/>
  <c r="T66" i="12" s="1"/>
  <c r="U66" i="12" s="1"/>
  <c r="V66" i="12" s="1"/>
  <c r="W66" i="12" s="1"/>
  <c r="X66" i="12" s="1"/>
  <c r="Y66" i="12" s="1"/>
  <c r="Z66" i="12" s="1"/>
  <c r="AA66" i="12" s="1"/>
  <c r="AB66" i="12" s="1"/>
  <c r="AC66" i="12" s="1"/>
  <c r="AD66" i="12" s="1"/>
  <c r="AE66" i="12" s="1"/>
  <c r="AF66" i="12" s="1"/>
  <c r="AG66" i="12" s="1"/>
  <c r="AH66" i="12" s="1"/>
  <c r="AI66" i="12" s="1"/>
  <c r="AJ66" i="12" s="1"/>
  <c r="AK66" i="12" s="1"/>
  <c r="AL66" i="12" s="1"/>
  <c r="AM66" i="12" s="1"/>
  <c r="AN66" i="12" s="1"/>
  <c r="AO66" i="12" s="1"/>
  <c r="AP66" i="12" s="1"/>
  <c r="AQ66" i="12" s="1"/>
  <c r="AR66" i="12" s="1"/>
  <c r="AS66" i="12" s="1"/>
  <c r="AT66" i="12" s="1"/>
  <c r="AU66" i="12" s="1"/>
  <c r="AV66" i="12" s="1"/>
  <c r="AW66" i="12" s="1"/>
  <c r="AX66" i="12" s="1"/>
  <c r="AY66" i="12" s="1"/>
  <c r="AZ66" i="12" s="1"/>
  <c r="B92" i="7"/>
  <c r="A69" i="7"/>
  <c r="A92" i="7" s="1"/>
  <c r="B91" i="7"/>
  <c r="A68" i="7"/>
  <c r="A91" i="7" s="1"/>
  <c r="B90" i="7"/>
  <c r="B89" i="7"/>
  <c r="A66" i="7"/>
  <c r="A89" i="7" s="1"/>
  <c r="B88" i="7"/>
  <c r="A65" i="7"/>
  <c r="A88" i="7" s="1"/>
  <c r="B87" i="7"/>
  <c r="A64" i="7"/>
  <c r="A87" i="7" s="1"/>
  <c r="B63" i="7"/>
  <c r="B86" i="7" s="1"/>
  <c r="B85" i="7"/>
  <c r="A62" i="7"/>
  <c r="A85" i="7" s="1"/>
  <c r="B84" i="7"/>
  <c r="A61" i="7"/>
  <c r="A84" i="7" s="1"/>
  <c r="B83" i="7"/>
  <c r="A83" i="7"/>
  <c r="B82" i="7"/>
  <c r="A59" i="7"/>
  <c r="A82" i="7" s="1"/>
  <c r="B81" i="7"/>
  <c r="A58" i="7"/>
  <c r="A81" i="7" s="1"/>
  <c r="B80" i="7"/>
  <c r="A57" i="7"/>
  <c r="A80" i="7" s="1"/>
  <c r="A56" i="7"/>
  <c r="A79" i="7" s="1"/>
  <c r="B78" i="7"/>
  <c r="A55" i="7"/>
  <c r="A78" i="7" s="1"/>
  <c r="B54" i="7"/>
  <c r="B77" i="7" s="1"/>
  <c r="A54" i="7"/>
  <c r="A77" i="7" s="1"/>
  <c r="B53" i="7"/>
  <c r="B76" i="7" s="1"/>
  <c r="A53" i="7"/>
  <c r="A76" i="7" s="1"/>
  <c r="B52" i="7"/>
  <c r="B75" i="7" s="1"/>
  <c r="A52" i="7"/>
  <c r="A75" i="7" s="1"/>
  <c r="B51" i="7"/>
  <c r="B74" i="7" s="1"/>
  <c r="A74" i="7"/>
  <c r="B73" i="7"/>
  <c r="A50" i="7"/>
  <c r="A73" i="7" s="1"/>
  <c r="I61" i="7"/>
  <c r="B47" i="7"/>
  <c r="A47" i="7"/>
  <c r="B46" i="7"/>
  <c r="A46" i="7"/>
  <c r="B45" i="7"/>
  <c r="A45" i="7"/>
  <c r="B44" i="7"/>
  <c r="A44" i="7"/>
  <c r="B43" i="7"/>
  <c r="A43" i="7"/>
  <c r="B42" i="7"/>
  <c r="A42" i="7"/>
  <c r="B41" i="7"/>
  <c r="A41" i="7"/>
  <c r="B40" i="7"/>
  <c r="A40" i="7"/>
  <c r="B39" i="7"/>
  <c r="A39" i="7"/>
  <c r="B38" i="7"/>
  <c r="A38" i="7"/>
  <c r="B37" i="7"/>
  <c r="A37" i="7"/>
  <c r="B36" i="7"/>
  <c r="A36" i="7"/>
  <c r="B35" i="7"/>
  <c r="A35" i="7"/>
  <c r="A34" i="7"/>
  <c r="B33" i="7"/>
  <c r="A33" i="7"/>
  <c r="B32" i="7"/>
  <c r="A32" i="7"/>
  <c r="B31" i="7"/>
  <c r="A31" i="7"/>
  <c r="B30" i="7"/>
  <c r="A30" i="7"/>
  <c r="B29" i="7"/>
  <c r="A29" i="7"/>
  <c r="B28" i="7"/>
  <c r="A28" i="7"/>
  <c r="B27" i="7"/>
  <c r="A27" i="7"/>
  <c r="F61" i="8"/>
  <c r="E61" i="8"/>
  <c r="D61" i="8"/>
  <c r="A5" i="8"/>
  <c r="A6" i="8" s="1"/>
  <c r="A7" i="8" s="1"/>
  <c r="A8" i="8" s="1"/>
  <c r="A9" i="8" s="1"/>
  <c r="A10" i="8" s="1"/>
  <c r="A11" i="8" s="1"/>
  <c r="A12" i="8" s="1"/>
  <c r="A14" i="8" s="1"/>
  <c r="A15" i="8" s="1"/>
  <c r="A16" i="8" s="1"/>
  <c r="A17" i="8" s="1"/>
  <c r="A19" i="8" s="1"/>
  <c r="A20" i="8" s="1"/>
  <c r="A21" i="8" s="1"/>
  <c r="A22" i="8" s="1"/>
  <c r="A23" i="8" s="1"/>
  <c r="A25" i="8" s="1"/>
  <c r="A26" i="8" s="1"/>
  <c r="A27" i="8" s="1"/>
  <c r="A28" i="8" s="1"/>
  <c r="A30" i="8" s="1"/>
  <c r="A31" i="8" s="1"/>
  <c r="A32" i="8" s="1"/>
  <c r="A33" i="8" s="1"/>
  <c r="A34" i="8" s="1"/>
  <c r="A35" i="8" s="1"/>
  <c r="A36" i="8" s="1"/>
  <c r="A37" i="8" s="1"/>
  <c r="A38" i="8" s="1"/>
  <c r="A39" i="8" s="1"/>
  <c r="A40" i="8" s="1"/>
  <c r="A42" i="8" s="1"/>
  <c r="A43" i="8" s="1"/>
  <c r="A44" i="8" s="1"/>
  <c r="A45" i="8" s="1"/>
  <c r="A46" i="8" s="1"/>
  <c r="A47" i="8" s="1"/>
  <c r="A48" i="8" s="1"/>
  <c r="A50" i="8" s="1"/>
  <c r="A51" i="8" s="1"/>
  <c r="A52" i="8" s="1"/>
  <c r="A53" i="8" s="1"/>
  <c r="A55" i="8" s="1"/>
  <c r="A56" i="8" s="1"/>
  <c r="A57" i="8" s="1"/>
  <c r="A59" i="8" s="1"/>
  <c r="A60" i="8" s="1"/>
  <c r="R12" i="2"/>
  <c r="Q12" i="2"/>
  <c r="H29" i="30"/>
  <c r="C29" i="30"/>
  <c r="J51" i="9"/>
  <c r="C62" i="12"/>
  <c r="BC11" i="3"/>
  <c r="N5" i="9"/>
  <c r="BB24" i="3"/>
  <c r="M24" i="3"/>
  <c r="M25" i="3" s="1"/>
  <c r="T24" i="3"/>
  <c r="T25" i="3" s="1"/>
  <c r="M66" i="3"/>
  <c r="M67" i="3" s="1"/>
  <c r="C83" i="3"/>
  <c r="C84" i="3" s="1"/>
  <c r="M46" i="9"/>
  <c r="R46" i="9"/>
  <c r="P46" i="9"/>
  <c r="P68" i="7"/>
  <c r="P65" i="7"/>
  <c r="Q65" i="7"/>
  <c r="P63" i="7"/>
  <c r="E121" i="7"/>
  <c r="Q59" i="7"/>
  <c r="E125" i="7"/>
  <c r="AO80" i="3"/>
  <c r="AO81" i="3" s="1"/>
  <c r="AH80" i="3"/>
  <c r="AH81" i="3" s="1"/>
  <c r="M80" i="3"/>
  <c r="M81" i="3" s="1"/>
  <c r="M52" i="3"/>
  <c r="M53" i="3" s="1"/>
  <c r="M54" i="3" s="1"/>
  <c r="M55" i="3" s="1"/>
  <c r="M56" i="3" s="1"/>
  <c r="M57" i="3" s="1"/>
  <c r="M58" i="3" s="1"/>
  <c r="M59" i="3" s="1"/>
  <c r="M60" i="3" s="1"/>
  <c r="M61" i="3" s="1"/>
  <c r="M62" i="3" s="1"/>
  <c r="M63" i="3" s="1"/>
  <c r="M64" i="3" s="1"/>
  <c r="BC12" i="3"/>
  <c r="BC39" i="3"/>
  <c r="J12" i="7"/>
  <c r="T38" i="3"/>
  <c r="T39" i="3" s="1"/>
  <c r="T40" i="3" s="1"/>
  <c r="AA52" i="3"/>
  <c r="AA53" i="3" s="1"/>
  <c r="AA54" i="3" s="1"/>
  <c r="AA55" i="3" s="1"/>
  <c r="AA56" i="3" s="1"/>
  <c r="AA57" i="3" s="1"/>
  <c r="AA58" i="3" s="1"/>
  <c r="AA59" i="3" s="1"/>
  <c r="AA60" i="3" s="1"/>
  <c r="AA61" i="3" s="1"/>
  <c r="AA62" i="3" s="1"/>
  <c r="AA63" i="3" s="1"/>
  <c r="AA64" i="3" s="1"/>
  <c r="AH38" i="3"/>
  <c r="AH39" i="3" s="1"/>
  <c r="AO52" i="3"/>
  <c r="AO53" i="3" s="1"/>
  <c r="AO54" i="3" s="1"/>
  <c r="AO55" i="3" s="1"/>
  <c r="AO56" i="3" s="1"/>
  <c r="AO57" i="3" s="1"/>
  <c r="AO58" i="3" s="1"/>
  <c r="AO59" i="3" s="1"/>
  <c r="AO60" i="3" s="1"/>
  <c r="AO61" i="3" s="1"/>
  <c r="AO62" i="3" s="1"/>
  <c r="AO63" i="3" s="1"/>
  <c r="AO64" i="3" s="1"/>
  <c r="M38" i="3"/>
  <c r="M39" i="3" s="1"/>
  <c r="M10" i="3"/>
  <c r="M11" i="3" s="1"/>
  <c r="E57" i="11"/>
  <c r="F3" i="11"/>
  <c r="F7" i="11" s="1"/>
  <c r="E39" i="30" s="1"/>
  <c r="H28" i="30"/>
  <c r="E7" i="11"/>
  <c r="D39" i="30" s="1"/>
  <c r="D41" i="30" s="1"/>
  <c r="I96" i="7"/>
  <c r="J54" i="7"/>
  <c r="K54" i="7" s="1"/>
  <c r="BB67" i="3"/>
  <c r="C68" i="3"/>
  <c r="BB68" i="3" s="1"/>
  <c r="D10" i="11"/>
  <c r="C39" i="30"/>
  <c r="C41" i="30" s="1"/>
  <c r="N52" i="3"/>
  <c r="N38" i="3"/>
  <c r="N39" i="3" s="1"/>
  <c r="N40" i="3" s="1"/>
  <c r="N41" i="3" s="1"/>
  <c r="N42" i="3" s="1"/>
  <c r="N43" i="3" s="1"/>
  <c r="N44" i="3" s="1"/>
  <c r="N45" i="3" s="1"/>
  <c r="N46" i="3" s="1"/>
  <c r="N47" i="3" s="1"/>
  <c r="N48" i="3" s="1"/>
  <c r="N49" i="3" s="1"/>
  <c r="N50" i="3" s="1"/>
  <c r="N10" i="3"/>
  <c r="N11" i="3" s="1"/>
  <c r="N12" i="3" s="1"/>
  <c r="N13" i="3" s="1"/>
  <c r="N14" i="3" s="1"/>
  <c r="N15" i="3" s="1"/>
  <c r="N16" i="3" s="1"/>
  <c r="N17" i="3" s="1"/>
  <c r="N18" i="3" s="1"/>
  <c r="N19" i="3" s="1"/>
  <c r="N20" i="3" s="1"/>
  <c r="N21" i="3" s="1"/>
  <c r="N22" i="3" s="1"/>
  <c r="N24" i="3"/>
  <c r="U24" i="3" s="1"/>
  <c r="N66" i="3"/>
  <c r="N80" i="3"/>
  <c r="U80" i="3" s="1"/>
  <c r="P62" i="7"/>
  <c r="Q62" i="7"/>
  <c r="T52" i="3"/>
  <c r="T53" i="3" s="1"/>
  <c r="T54" i="3" s="1"/>
  <c r="T55" i="3" s="1"/>
  <c r="T56" i="3" s="1"/>
  <c r="T57" i="3" s="1"/>
  <c r="T58" i="3" s="1"/>
  <c r="T59" i="3" s="1"/>
  <c r="T60" i="3" s="1"/>
  <c r="T61" i="3" s="1"/>
  <c r="T62" i="3" s="1"/>
  <c r="T63" i="3" s="1"/>
  <c r="T64" i="3" s="1"/>
  <c r="AA24" i="3"/>
  <c r="AA25" i="3" s="1"/>
  <c r="AA26" i="3" s="1"/>
  <c r="AA27" i="3" s="1"/>
  <c r="AA28" i="3" s="1"/>
  <c r="AA29" i="3" s="1"/>
  <c r="AA30" i="3" s="1"/>
  <c r="AA31" i="3" s="1"/>
  <c r="AA32" i="3" s="1"/>
  <c r="AA33" i="3" s="1"/>
  <c r="AA34" i="3" s="1"/>
  <c r="AA35" i="3" s="1"/>
  <c r="AA36" i="3" s="1"/>
  <c r="AO24" i="3"/>
  <c r="AO25" i="3" s="1"/>
  <c r="AO26" i="3" s="1"/>
  <c r="AO27" i="3" s="1"/>
  <c r="AO28" i="3" s="1"/>
  <c r="AO29" i="3" s="1"/>
  <c r="AO30" i="3" s="1"/>
  <c r="AO31" i="3" s="1"/>
  <c r="AO32" i="3" s="1"/>
  <c r="AO33" i="3" s="1"/>
  <c r="AO34" i="3" s="1"/>
  <c r="AO35" i="3" s="1"/>
  <c r="AO36" i="3" s="1"/>
  <c r="T10" i="3"/>
  <c r="T11" i="3" s="1"/>
  <c r="T12" i="3" s="1"/>
  <c r="AA38" i="3"/>
  <c r="AA39" i="3" s="1"/>
  <c r="AA40" i="3" s="1"/>
  <c r="AA41" i="3" s="1"/>
  <c r="AA42" i="3" s="1"/>
  <c r="AA43" i="3" s="1"/>
  <c r="AA44" i="3" s="1"/>
  <c r="AA45" i="3" s="1"/>
  <c r="AA46" i="3" s="1"/>
  <c r="AA47" i="3" s="1"/>
  <c r="AA48" i="3" s="1"/>
  <c r="AA49" i="3" s="1"/>
  <c r="AA50" i="3" s="1"/>
  <c r="AH10" i="3"/>
  <c r="AH11" i="3" s="1"/>
  <c r="F97" i="7"/>
  <c r="G97" i="7" s="1"/>
  <c r="X101" i="3"/>
  <c r="Q101" i="3"/>
  <c r="J52" i="7"/>
  <c r="K52" i="7" s="1"/>
  <c r="D73" i="12"/>
  <c r="E73" i="12" s="1"/>
  <c r="F73" i="12" s="1"/>
  <c r="G73" i="12" s="1"/>
  <c r="H73" i="12" s="1"/>
  <c r="R15" i="9"/>
  <c r="G103" i="3"/>
  <c r="F104" i="3"/>
  <c r="F105" i="3" s="1"/>
  <c r="T15" i="9"/>
  <c r="BC67" i="3"/>
  <c r="G104" i="3"/>
  <c r="C69" i="3"/>
  <c r="C70" i="3" s="1"/>
  <c r="L33" i="1"/>
  <c r="K42" i="2" l="1"/>
  <c r="J12" i="39"/>
  <c r="L12" i="39" s="1"/>
  <c r="C42" i="5"/>
  <c r="D42" i="5" s="1"/>
  <c r="E42" i="5" s="1"/>
  <c r="L26" i="39"/>
  <c r="J10" i="39"/>
  <c r="L10" i="39" s="1"/>
  <c r="I4" i="2"/>
  <c r="J9" i="39"/>
  <c r="L9" i="39" s="1"/>
  <c r="D46" i="2"/>
  <c r="BC22" i="3"/>
  <c r="BC18" i="3"/>
  <c r="M52" i="2"/>
  <c r="W5" i="12"/>
  <c r="W17" i="12" s="1"/>
  <c r="V5" i="12"/>
  <c r="V14" i="12" s="1"/>
  <c r="L80" i="3"/>
  <c r="AK5" i="12"/>
  <c r="AK6" i="12" s="1"/>
  <c r="AK32" i="12" s="1"/>
  <c r="AK40" i="12" s="1"/>
  <c r="V6" i="12"/>
  <c r="AS5" i="12"/>
  <c r="AE5" i="12"/>
  <c r="AE17" i="12" s="1"/>
  <c r="AT14" i="12"/>
  <c r="I5" i="12"/>
  <c r="I17" i="12" s="1"/>
  <c r="C5" i="12"/>
  <c r="C6" i="12" s="1"/>
  <c r="C32" i="12" s="1"/>
  <c r="C40" i="12" s="1"/>
  <c r="AT6" i="12"/>
  <c r="N5" i="12"/>
  <c r="N16" i="12" s="1"/>
  <c r="N21" i="12" s="1"/>
  <c r="N34" i="12" s="1"/>
  <c r="AX5" i="12"/>
  <c r="AX14" i="12" s="1"/>
  <c r="AI5" i="12"/>
  <c r="AI14" i="12" s="1"/>
  <c r="BC36" i="3"/>
  <c r="BC28" i="3"/>
  <c r="AO5" i="12"/>
  <c r="AO14" i="12" s="1"/>
  <c r="M5" i="12"/>
  <c r="AT17" i="12"/>
  <c r="AT19" i="12" s="1"/>
  <c r="AM5" i="12"/>
  <c r="K7" i="7"/>
  <c r="D5" i="12"/>
  <c r="D16" i="12" s="1"/>
  <c r="D21" i="12" s="1"/>
  <c r="D34" i="12" s="1"/>
  <c r="AA5" i="12"/>
  <c r="AA6" i="12" s="1"/>
  <c r="G5" i="12"/>
  <c r="G14" i="12" s="1"/>
  <c r="T5" i="12"/>
  <c r="T16" i="12" s="1"/>
  <c r="T21" i="12" s="1"/>
  <c r="T34" i="12" s="1"/>
  <c r="K5" i="12"/>
  <c r="K14" i="12" s="1"/>
  <c r="Y5" i="12"/>
  <c r="F5" i="12"/>
  <c r="F16" i="12" s="1"/>
  <c r="F21" i="12" s="1"/>
  <c r="F34" i="12" s="1"/>
  <c r="AQ5" i="12"/>
  <c r="O5" i="12"/>
  <c r="O17" i="12" s="1"/>
  <c r="L5" i="12"/>
  <c r="L16" i="12" s="1"/>
  <c r="L21" i="12" s="1"/>
  <c r="L34" i="12" s="1"/>
  <c r="V16" i="12"/>
  <c r="V21" i="12" s="1"/>
  <c r="V34" i="12" s="1"/>
  <c r="AC5" i="12"/>
  <c r="AC17" i="12" s="1"/>
  <c r="AV5" i="12"/>
  <c r="AV16" i="12" s="1"/>
  <c r="S5" i="12"/>
  <c r="S17" i="12" s="1"/>
  <c r="AG5" i="12"/>
  <c r="AG14" i="12" s="1"/>
  <c r="Q5" i="12"/>
  <c r="Q6" i="12" s="1"/>
  <c r="Q32" i="12" s="1"/>
  <c r="AZ5" i="12"/>
  <c r="AZ17" i="12" s="1"/>
  <c r="AZ16" i="12"/>
  <c r="AZ21" i="12" s="1"/>
  <c r="AZ34" i="12" s="1"/>
  <c r="K15" i="7"/>
  <c r="AU38" i="3"/>
  <c r="AM17" i="12"/>
  <c r="E15" i="9"/>
  <c r="AZ6" i="12"/>
  <c r="BC34" i="3"/>
  <c r="AV14" i="12"/>
  <c r="L39" i="3"/>
  <c r="F21" i="11"/>
  <c r="F32" i="11"/>
  <c r="F49" i="11"/>
  <c r="F57" i="11"/>
  <c r="K55" i="7"/>
  <c r="BC54" i="3"/>
  <c r="E128" i="3"/>
  <c r="E26" i="11"/>
  <c r="E37" i="11"/>
  <c r="D21" i="11"/>
  <c r="D37" i="11"/>
  <c r="D49" i="11"/>
  <c r="D66" i="11"/>
  <c r="Q61" i="7"/>
  <c r="Q50" i="7"/>
  <c r="Q46" i="9"/>
  <c r="F26" i="11"/>
  <c r="F37" i="11"/>
  <c r="F62" i="11"/>
  <c r="Q60" i="7"/>
  <c r="Q69" i="7"/>
  <c r="D14" i="12"/>
  <c r="D17" i="12"/>
  <c r="Y17" i="12"/>
  <c r="V17" i="12"/>
  <c r="F6" i="11"/>
  <c r="G101" i="7"/>
  <c r="S38" i="3"/>
  <c r="L7" i="30"/>
  <c r="AW5" i="12"/>
  <c r="N25" i="3"/>
  <c r="N26" i="3" s="1"/>
  <c r="N27" i="3" s="1"/>
  <c r="BC69" i="3"/>
  <c r="AW79" i="3"/>
  <c r="S26" i="9" s="1"/>
  <c r="U26" i="9" s="1"/>
  <c r="C41" i="5"/>
  <c r="D41" i="5" s="1"/>
  <c r="E41" i="5" s="1"/>
  <c r="D38" i="2"/>
  <c r="K38" i="2" s="1"/>
  <c r="C33" i="5"/>
  <c r="E33" i="5" s="1"/>
  <c r="D55" i="2"/>
  <c r="D54" i="2"/>
  <c r="D56" i="2"/>
  <c r="C21" i="5"/>
  <c r="D21" i="5" s="1"/>
  <c r="E21" i="5" s="1"/>
  <c r="AZ14" i="12"/>
  <c r="Q14" i="12"/>
  <c r="Q17" i="12"/>
  <c r="L38" i="3"/>
  <c r="AK17" i="12"/>
  <c r="AN38" i="3"/>
  <c r="D17" i="2"/>
  <c r="D16" i="2"/>
  <c r="D18" i="2"/>
  <c r="K48" i="2"/>
  <c r="Q13" i="12"/>
  <c r="AX16" i="12"/>
  <c r="AX21" i="12" s="1"/>
  <c r="AX34" i="12" s="1"/>
  <c r="K17" i="12"/>
  <c r="AX17" i="12"/>
  <c r="L17" i="12"/>
  <c r="O16" i="12"/>
  <c r="O21" i="12" s="1"/>
  <c r="O34" i="12" s="1"/>
  <c r="AH5" i="12"/>
  <c r="AH17" i="12" s="1"/>
  <c r="AK14" i="12"/>
  <c r="AX6" i="12"/>
  <c r="AE6" i="12"/>
  <c r="AE13" i="12" s="1"/>
  <c r="AE16" i="12"/>
  <c r="AE21" i="12" s="1"/>
  <c r="AE34" i="12" s="1"/>
  <c r="AK16" i="12"/>
  <c r="AF5" i="12"/>
  <c r="O6" i="12"/>
  <c r="I4" i="11"/>
  <c r="J4" i="11" s="1"/>
  <c r="K4" i="11" s="1"/>
  <c r="L8" i="11" s="1"/>
  <c r="L14" i="12"/>
  <c r="H8" i="11"/>
  <c r="AS16" i="12"/>
  <c r="AS21" i="12" s="1"/>
  <c r="AS34" i="12" s="1"/>
  <c r="Z38" i="3"/>
  <c r="AY5" i="12"/>
  <c r="AY16" i="12" s="1"/>
  <c r="AY21" i="12" s="1"/>
  <c r="AY34" i="12" s="1"/>
  <c r="R5" i="12"/>
  <c r="R17" i="12" s="1"/>
  <c r="D70" i="11"/>
  <c r="C71" i="3"/>
  <c r="BB71" i="3" s="1"/>
  <c r="BC70" i="3"/>
  <c r="F10" i="11"/>
  <c r="E67" i="3"/>
  <c r="AN67" i="3" s="1"/>
  <c r="AG66" i="3"/>
  <c r="L66" i="3"/>
  <c r="F120" i="3"/>
  <c r="G119" i="3"/>
  <c r="AX79" i="3"/>
  <c r="AW51" i="3"/>
  <c r="BB69" i="3"/>
  <c r="E10" i="11"/>
  <c r="S6" i="12"/>
  <c r="D6" i="12"/>
  <c r="D32" i="12" s="1"/>
  <c r="D40" i="12" s="1"/>
  <c r="AI6" i="12"/>
  <c r="BB83" i="3"/>
  <c r="K6" i="7"/>
  <c r="K19" i="7"/>
  <c r="G118" i="3"/>
  <c r="BC82" i="3"/>
  <c r="AG10" i="3"/>
  <c r="D62" i="8"/>
  <c r="E108" i="7"/>
  <c r="B1" i="8"/>
  <c r="K22" i="7"/>
  <c r="K18" i="7"/>
  <c r="K14" i="7"/>
  <c r="K9" i="7"/>
  <c r="K5" i="7"/>
  <c r="E69" i="35"/>
  <c r="E73" i="35" s="1"/>
  <c r="E82" i="35" s="1"/>
  <c r="J26" i="37"/>
  <c r="BC53" i="3"/>
  <c r="BC84" i="3"/>
  <c r="BC81" i="3"/>
  <c r="K12" i="7"/>
  <c r="A1" i="6"/>
  <c r="A1" i="12"/>
  <c r="Q58" i="7"/>
  <c r="K21" i="7"/>
  <c r="K17" i="7"/>
  <c r="K13" i="7"/>
  <c r="K8" i="7"/>
  <c r="K4" i="7"/>
  <c r="J27" i="37"/>
  <c r="AP5" i="12"/>
  <c r="Z5" i="12"/>
  <c r="H5" i="12"/>
  <c r="AK39" i="12"/>
  <c r="E38" i="30"/>
  <c r="K16" i="7"/>
  <c r="D111" i="7"/>
  <c r="AK13" i="12"/>
  <c r="AY14" i="12"/>
  <c r="K20" i="7"/>
  <c r="K3" i="7"/>
  <c r="I83" i="2"/>
  <c r="M83" i="2" s="1"/>
  <c r="J22" i="37"/>
  <c r="AN5" i="12"/>
  <c r="AN14" i="12" s="1"/>
  <c r="X5" i="12"/>
  <c r="X14" i="12" s="1"/>
  <c r="U38" i="3"/>
  <c r="BG38" i="3" s="1"/>
  <c r="BF10" i="3"/>
  <c r="Q39" i="12"/>
  <c r="Q44" i="12"/>
  <c r="Q60" i="12"/>
  <c r="AU52" i="3"/>
  <c r="E53" i="3"/>
  <c r="L53" i="3" s="1"/>
  <c r="G100" i="7"/>
  <c r="G108" i="7" s="1"/>
  <c r="F108" i="7"/>
  <c r="I108" i="7"/>
  <c r="I110" i="7" s="1"/>
  <c r="D60" i="7" s="1"/>
  <c r="E52" i="9"/>
  <c r="C67" i="7"/>
  <c r="P21" i="7"/>
  <c r="Q21" i="7"/>
  <c r="AA32" i="12"/>
  <c r="AA13" i="12"/>
  <c r="Q40" i="12"/>
  <c r="V13" i="12"/>
  <c r="V32" i="12"/>
  <c r="V44" i="12" s="1"/>
  <c r="AK60" i="12"/>
  <c r="AK44" i="12"/>
  <c r="K16" i="12"/>
  <c r="K21" i="12" s="1"/>
  <c r="K34" i="12" s="1"/>
  <c r="K6" i="12"/>
  <c r="K13" i="12" s="1"/>
  <c r="X16" i="12"/>
  <c r="X21" i="12" s="1"/>
  <c r="X34" i="12" s="1"/>
  <c r="W6" i="12"/>
  <c r="W16" i="12"/>
  <c r="W21" i="12" s="1"/>
  <c r="W34" i="12" s="1"/>
  <c r="W14" i="12"/>
  <c r="F17" i="12"/>
  <c r="F14" i="12"/>
  <c r="AA17" i="12"/>
  <c r="AA14" i="12"/>
  <c r="AA16" i="12"/>
  <c r="AA21" i="12" s="1"/>
  <c r="AA34" i="12" s="1"/>
  <c r="AQ17" i="12"/>
  <c r="AQ14" i="12"/>
  <c r="AQ6" i="12"/>
  <c r="AQ16" i="12"/>
  <c r="AQ21" i="12" s="1"/>
  <c r="AQ34" i="12" s="1"/>
  <c r="N6" i="12"/>
  <c r="AE14" i="12"/>
  <c r="AS6" i="12"/>
  <c r="AG16" i="12"/>
  <c r="AG21" i="12" s="1"/>
  <c r="AG34" i="12" s="1"/>
  <c r="AU66" i="3"/>
  <c r="Z66" i="3"/>
  <c r="AV6" i="12"/>
  <c r="L6" i="12"/>
  <c r="S66" i="3"/>
  <c r="AN66" i="3"/>
  <c r="D13" i="1"/>
  <c r="Z6" i="30" s="1"/>
  <c r="H19" i="11"/>
  <c r="I19" i="11" s="1"/>
  <c r="J19" i="11" s="1"/>
  <c r="K19" i="11" s="1"/>
  <c r="L19" i="11" s="1"/>
  <c r="M19" i="11" s="1"/>
  <c r="N19" i="11" s="1"/>
  <c r="O19" i="11" s="1"/>
  <c r="P19" i="11" s="1"/>
  <c r="Q19" i="11" s="1"/>
  <c r="R19" i="11" s="1"/>
  <c r="S19" i="11" s="1"/>
  <c r="T19" i="11" s="1"/>
  <c r="U19" i="11" s="1"/>
  <c r="V19" i="11" s="1"/>
  <c r="W19" i="11" s="1"/>
  <c r="X19" i="11" s="1"/>
  <c r="Y19" i="11" s="1"/>
  <c r="Z19" i="11" s="1"/>
  <c r="AA19" i="11" s="1"/>
  <c r="AB19" i="11" s="1"/>
  <c r="AC19" i="11" s="1"/>
  <c r="AD19" i="11" s="1"/>
  <c r="AE19" i="11" s="1"/>
  <c r="AF19" i="11" s="1"/>
  <c r="AG19" i="11" s="1"/>
  <c r="AH19" i="11" s="1"/>
  <c r="AI19" i="11" s="1"/>
  <c r="AJ19" i="11" s="1"/>
  <c r="AK19" i="11" s="1"/>
  <c r="AL19" i="11" s="1"/>
  <c r="AM19" i="11" s="1"/>
  <c r="AN19" i="11" s="1"/>
  <c r="AO19" i="11" s="1"/>
  <c r="AP19" i="11" s="1"/>
  <c r="AQ19" i="11" s="1"/>
  <c r="AR19" i="11" s="1"/>
  <c r="AS19" i="11" s="1"/>
  <c r="AT19" i="11" s="1"/>
  <c r="H15" i="11"/>
  <c r="I15" i="11" s="1"/>
  <c r="J15" i="11" s="1"/>
  <c r="K15" i="11" s="1"/>
  <c r="L15" i="11" s="1"/>
  <c r="M15" i="11" s="1"/>
  <c r="N15" i="11" s="1"/>
  <c r="O15" i="11" s="1"/>
  <c r="P15" i="11" s="1"/>
  <c r="Q15" i="11" s="1"/>
  <c r="R15" i="11" s="1"/>
  <c r="S15" i="11" s="1"/>
  <c r="T15" i="11" s="1"/>
  <c r="U15" i="11" s="1"/>
  <c r="V15" i="11" s="1"/>
  <c r="W15" i="11" s="1"/>
  <c r="X15" i="11" s="1"/>
  <c r="Y15" i="11" s="1"/>
  <c r="Z15" i="11" s="1"/>
  <c r="AA15" i="11" s="1"/>
  <c r="AB15" i="11" s="1"/>
  <c r="AC15" i="11" s="1"/>
  <c r="AD15" i="11" s="1"/>
  <c r="AE15" i="11" s="1"/>
  <c r="AF15" i="11" s="1"/>
  <c r="AG15" i="11" s="1"/>
  <c r="AH15" i="11" s="1"/>
  <c r="AI15" i="11" s="1"/>
  <c r="AJ15" i="11" s="1"/>
  <c r="AK15" i="11" s="1"/>
  <c r="AL15" i="11" s="1"/>
  <c r="AM15" i="11" s="1"/>
  <c r="AN15" i="11" s="1"/>
  <c r="AO15" i="11" s="1"/>
  <c r="AP15" i="11" s="1"/>
  <c r="AQ15" i="11" s="1"/>
  <c r="AR15" i="11" s="1"/>
  <c r="AS15" i="11" s="1"/>
  <c r="AT15" i="11" s="1"/>
  <c r="H25" i="11"/>
  <c r="I25" i="11" s="1"/>
  <c r="J25" i="11" s="1"/>
  <c r="K25" i="11" s="1"/>
  <c r="L25" i="11" s="1"/>
  <c r="M25" i="11" s="1"/>
  <c r="N25" i="11" s="1"/>
  <c r="O25" i="11" s="1"/>
  <c r="P25" i="11" s="1"/>
  <c r="Q25" i="11" s="1"/>
  <c r="R25" i="11" s="1"/>
  <c r="S25" i="11" s="1"/>
  <c r="T25" i="11" s="1"/>
  <c r="U25" i="11" s="1"/>
  <c r="V25" i="11" s="1"/>
  <c r="W25" i="11" s="1"/>
  <c r="X25" i="11" s="1"/>
  <c r="Y25" i="11" s="1"/>
  <c r="Z25" i="11" s="1"/>
  <c r="AA25" i="11" s="1"/>
  <c r="AB25" i="11" s="1"/>
  <c r="AC25" i="11" s="1"/>
  <c r="AD25" i="11" s="1"/>
  <c r="AE25" i="11" s="1"/>
  <c r="AF25" i="11" s="1"/>
  <c r="AG25" i="11" s="1"/>
  <c r="AH25" i="11" s="1"/>
  <c r="AI25" i="11" s="1"/>
  <c r="AJ25" i="11" s="1"/>
  <c r="AK25" i="11" s="1"/>
  <c r="AL25" i="11" s="1"/>
  <c r="AM25" i="11" s="1"/>
  <c r="AN25" i="11" s="1"/>
  <c r="AO25" i="11" s="1"/>
  <c r="AP25" i="11" s="1"/>
  <c r="AQ25" i="11" s="1"/>
  <c r="AR25" i="11" s="1"/>
  <c r="AS25" i="11" s="1"/>
  <c r="AT25" i="11" s="1"/>
  <c r="H28" i="11"/>
  <c r="I28" i="11" s="1"/>
  <c r="J28" i="11" s="1"/>
  <c r="H34" i="11"/>
  <c r="I34" i="11" s="1"/>
  <c r="J34" i="11" s="1"/>
  <c r="K34" i="11" s="1"/>
  <c r="L34" i="11" s="1"/>
  <c r="M34" i="11" s="1"/>
  <c r="N34" i="11" s="1"/>
  <c r="O34" i="11" s="1"/>
  <c r="P34" i="11" s="1"/>
  <c r="Q34" i="11" s="1"/>
  <c r="R34" i="11" s="1"/>
  <c r="S34" i="11" s="1"/>
  <c r="T34" i="11" s="1"/>
  <c r="U34" i="11" s="1"/>
  <c r="V34" i="11" s="1"/>
  <c r="W34" i="11" s="1"/>
  <c r="X34" i="11" s="1"/>
  <c r="Y34" i="11" s="1"/>
  <c r="Z34" i="11" s="1"/>
  <c r="AA34" i="11" s="1"/>
  <c r="AB34" i="11" s="1"/>
  <c r="AC34" i="11" s="1"/>
  <c r="AD34" i="11" s="1"/>
  <c r="AE34" i="11" s="1"/>
  <c r="AF34" i="11" s="1"/>
  <c r="AG34" i="11" s="1"/>
  <c r="AH34" i="11" s="1"/>
  <c r="AI34" i="11" s="1"/>
  <c r="AJ34" i="11" s="1"/>
  <c r="AK34" i="11" s="1"/>
  <c r="AL34" i="11" s="1"/>
  <c r="AM34" i="11" s="1"/>
  <c r="AN34" i="11" s="1"/>
  <c r="AO34" i="11" s="1"/>
  <c r="AP34" i="11" s="1"/>
  <c r="AQ34" i="11" s="1"/>
  <c r="AR34" i="11" s="1"/>
  <c r="AS34" i="11" s="1"/>
  <c r="AT34" i="11" s="1"/>
  <c r="H46" i="11"/>
  <c r="I46" i="11" s="1"/>
  <c r="J46" i="11" s="1"/>
  <c r="K46" i="11" s="1"/>
  <c r="L46" i="11" s="1"/>
  <c r="M46" i="11" s="1"/>
  <c r="N46" i="11" s="1"/>
  <c r="O46" i="11" s="1"/>
  <c r="P46" i="11" s="1"/>
  <c r="Q46" i="11" s="1"/>
  <c r="R46" i="11" s="1"/>
  <c r="S46" i="11" s="1"/>
  <c r="T46" i="11" s="1"/>
  <c r="U46" i="11" s="1"/>
  <c r="V46" i="11" s="1"/>
  <c r="W46" i="11" s="1"/>
  <c r="X46" i="11" s="1"/>
  <c r="Y46" i="11" s="1"/>
  <c r="Z46" i="11" s="1"/>
  <c r="AA46" i="11" s="1"/>
  <c r="AB46" i="11" s="1"/>
  <c r="AC46" i="11" s="1"/>
  <c r="AD46" i="11" s="1"/>
  <c r="AE46" i="11" s="1"/>
  <c r="AF46" i="11" s="1"/>
  <c r="AG46" i="11" s="1"/>
  <c r="AH46" i="11" s="1"/>
  <c r="AI46" i="11" s="1"/>
  <c r="AJ46" i="11" s="1"/>
  <c r="AK46" i="11" s="1"/>
  <c r="AL46" i="11" s="1"/>
  <c r="AM46" i="11" s="1"/>
  <c r="AN46" i="11" s="1"/>
  <c r="AO46" i="11" s="1"/>
  <c r="AP46" i="11" s="1"/>
  <c r="AQ46" i="11" s="1"/>
  <c r="AR46" i="11" s="1"/>
  <c r="AS46" i="11" s="1"/>
  <c r="AT46" i="11" s="1"/>
  <c r="H42" i="11"/>
  <c r="I42" i="11" s="1"/>
  <c r="J42" i="11" s="1"/>
  <c r="H38" i="11"/>
  <c r="I38" i="11" s="1"/>
  <c r="J38" i="11" s="1"/>
  <c r="K38" i="11" s="1"/>
  <c r="L38" i="11" s="1"/>
  <c r="M38" i="11" s="1"/>
  <c r="N38" i="11" s="1"/>
  <c r="O38" i="11" s="1"/>
  <c r="P38" i="11" s="1"/>
  <c r="Q38" i="11" s="1"/>
  <c r="R38" i="11" s="1"/>
  <c r="S38" i="11" s="1"/>
  <c r="T38" i="11" s="1"/>
  <c r="H53" i="11"/>
  <c r="I53" i="11" s="1"/>
  <c r="J53" i="11" s="1"/>
  <c r="K53" i="11" s="1"/>
  <c r="L53" i="11" s="1"/>
  <c r="M53" i="11" s="1"/>
  <c r="N53" i="11" s="1"/>
  <c r="O53" i="11" s="1"/>
  <c r="P53" i="11" s="1"/>
  <c r="Q53" i="11" s="1"/>
  <c r="R53" i="11" s="1"/>
  <c r="S53" i="11" s="1"/>
  <c r="T53" i="11" s="1"/>
  <c r="U53" i="11" s="1"/>
  <c r="V53" i="11" s="1"/>
  <c r="W53" i="11" s="1"/>
  <c r="X53" i="11" s="1"/>
  <c r="Y53" i="11" s="1"/>
  <c r="Z53" i="11" s="1"/>
  <c r="AA53" i="11" s="1"/>
  <c r="AB53" i="11" s="1"/>
  <c r="AC53" i="11" s="1"/>
  <c r="AD53" i="11" s="1"/>
  <c r="AE53" i="11" s="1"/>
  <c r="AF53" i="11" s="1"/>
  <c r="AG53" i="11" s="1"/>
  <c r="AH53" i="11" s="1"/>
  <c r="AI53" i="11" s="1"/>
  <c r="AJ53" i="11" s="1"/>
  <c r="AK53" i="11" s="1"/>
  <c r="AL53" i="11" s="1"/>
  <c r="AM53" i="11" s="1"/>
  <c r="AN53" i="11" s="1"/>
  <c r="AO53" i="11" s="1"/>
  <c r="AP53" i="11" s="1"/>
  <c r="AQ53" i="11" s="1"/>
  <c r="AR53" i="11" s="1"/>
  <c r="AS53" i="11" s="1"/>
  <c r="AT53" i="11" s="1"/>
  <c r="H61" i="11"/>
  <c r="I61" i="11" s="1"/>
  <c r="J61" i="11" s="1"/>
  <c r="K61" i="11" s="1"/>
  <c r="L61" i="11" s="1"/>
  <c r="M61" i="11" s="1"/>
  <c r="N61" i="11" s="1"/>
  <c r="O61" i="11" s="1"/>
  <c r="P61" i="11" s="1"/>
  <c r="Q61" i="11" s="1"/>
  <c r="R61" i="11" s="1"/>
  <c r="S61" i="11" s="1"/>
  <c r="T61" i="11" s="1"/>
  <c r="U61" i="11" s="1"/>
  <c r="V61" i="11" s="1"/>
  <c r="W61" i="11" s="1"/>
  <c r="X61" i="11" s="1"/>
  <c r="Y61" i="11" s="1"/>
  <c r="Z61" i="11" s="1"/>
  <c r="AA61" i="11" s="1"/>
  <c r="AB61" i="11" s="1"/>
  <c r="AC61" i="11" s="1"/>
  <c r="AD61" i="11" s="1"/>
  <c r="AE61" i="11" s="1"/>
  <c r="AF61" i="11" s="1"/>
  <c r="AG61" i="11" s="1"/>
  <c r="AH61" i="11" s="1"/>
  <c r="AI61" i="11" s="1"/>
  <c r="AJ61" i="11" s="1"/>
  <c r="AK61" i="11" s="1"/>
  <c r="AL61" i="11" s="1"/>
  <c r="AM61" i="11" s="1"/>
  <c r="AN61" i="11" s="1"/>
  <c r="AO61" i="11" s="1"/>
  <c r="AP61" i="11" s="1"/>
  <c r="AQ61" i="11" s="1"/>
  <c r="AR61" i="11" s="1"/>
  <c r="AS61" i="11" s="1"/>
  <c r="AT61" i="11" s="1"/>
  <c r="H68" i="11"/>
  <c r="I68" i="11" s="1"/>
  <c r="J68" i="11" s="1"/>
  <c r="K68" i="11" s="1"/>
  <c r="L68" i="11" s="1"/>
  <c r="M68" i="11" s="1"/>
  <c r="N68" i="11" s="1"/>
  <c r="O68" i="11" s="1"/>
  <c r="P68" i="11" s="1"/>
  <c r="Q68" i="11" s="1"/>
  <c r="R68" i="11" s="1"/>
  <c r="S68" i="11" s="1"/>
  <c r="T68" i="11" s="1"/>
  <c r="U68" i="11" s="1"/>
  <c r="V68" i="11" s="1"/>
  <c r="W68" i="11" s="1"/>
  <c r="X68" i="11" s="1"/>
  <c r="Y68" i="11" s="1"/>
  <c r="Z68" i="11" s="1"/>
  <c r="AA68" i="11" s="1"/>
  <c r="AB68" i="11" s="1"/>
  <c r="AC68" i="11" s="1"/>
  <c r="AD68" i="11" s="1"/>
  <c r="AE68" i="11" s="1"/>
  <c r="AF68" i="11" s="1"/>
  <c r="AG68" i="11" s="1"/>
  <c r="AH68" i="11" s="1"/>
  <c r="AI68" i="11" s="1"/>
  <c r="AJ68" i="11" s="1"/>
  <c r="AK68" i="11" s="1"/>
  <c r="AL68" i="11" s="1"/>
  <c r="AM68" i="11" s="1"/>
  <c r="AN68" i="11" s="1"/>
  <c r="AO68" i="11" s="1"/>
  <c r="AP68" i="11" s="1"/>
  <c r="AQ68" i="11" s="1"/>
  <c r="AR68" i="11" s="1"/>
  <c r="AS68" i="11" s="1"/>
  <c r="AT68" i="11" s="1"/>
  <c r="H64" i="11"/>
  <c r="I64" i="11" s="1"/>
  <c r="J64" i="11" s="1"/>
  <c r="K64" i="11" s="1"/>
  <c r="L64" i="11" s="1"/>
  <c r="M64" i="11" s="1"/>
  <c r="N64" i="11" s="1"/>
  <c r="O64" i="11" s="1"/>
  <c r="P64" i="11" s="1"/>
  <c r="Q64" i="11" s="1"/>
  <c r="R64" i="11" s="1"/>
  <c r="S64" i="11" s="1"/>
  <c r="T64" i="11" s="1"/>
  <c r="U64" i="11" s="1"/>
  <c r="V64" i="11" s="1"/>
  <c r="W64" i="11" s="1"/>
  <c r="X64" i="11" s="1"/>
  <c r="Y64" i="11" s="1"/>
  <c r="Z64" i="11" s="1"/>
  <c r="AA64" i="11" s="1"/>
  <c r="AB64" i="11" s="1"/>
  <c r="AC64" i="11" s="1"/>
  <c r="AD64" i="11" s="1"/>
  <c r="AE64" i="11" s="1"/>
  <c r="AF64" i="11" s="1"/>
  <c r="AG64" i="11" s="1"/>
  <c r="AH64" i="11" s="1"/>
  <c r="AI64" i="11" s="1"/>
  <c r="AJ64" i="11" s="1"/>
  <c r="AK64" i="11" s="1"/>
  <c r="AL64" i="11" s="1"/>
  <c r="AM64" i="11" s="1"/>
  <c r="AN64" i="11" s="1"/>
  <c r="AO64" i="11" s="1"/>
  <c r="AP64" i="11" s="1"/>
  <c r="AQ64" i="11" s="1"/>
  <c r="AR64" i="11" s="1"/>
  <c r="AS64" i="11" s="1"/>
  <c r="AT64" i="11" s="1"/>
  <c r="H18" i="11"/>
  <c r="I18" i="11" s="1"/>
  <c r="J18" i="11" s="1"/>
  <c r="K18" i="11" s="1"/>
  <c r="L18" i="11" s="1"/>
  <c r="M18" i="11" s="1"/>
  <c r="N18" i="11" s="1"/>
  <c r="O18" i="11" s="1"/>
  <c r="P18" i="11" s="1"/>
  <c r="Q18" i="11" s="1"/>
  <c r="R18" i="11" s="1"/>
  <c r="S18" i="11" s="1"/>
  <c r="T18" i="11" s="1"/>
  <c r="U18" i="11" s="1"/>
  <c r="V18" i="11" s="1"/>
  <c r="W18" i="11" s="1"/>
  <c r="X18" i="11" s="1"/>
  <c r="Y18" i="11" s="1"/>
  <c r="Z18" i="11" s="1"/>
  <c r="AA18" i="11" s="1"/>
  <c r="AB18" i="11" s="1"/>
  <c r="AC18" i="11" s="1"/>
  <c r="AD18" i="11" s="1"/>
  <c r="AE18" i="11" s="1"/>
  <c r="AF18" i="11" s="1"/>
  <c r="AG18" i="11" s="1"/>
  <c r="AH18" i="11" s="1"/>
  <c r="AI18" i="11" s="1"/>
  <c r="AJ18" i="11" s="1"/>
  <c r="AK18" i="11" s="1"/>
  <c r="AL18" i="11" s="1"/>
  <c r="AM18" i="11" s="1"/>
  <c r="AN18" i="11" s="1"/>
  <c r="AO18" i="11" s="1"/>
  <c r="AP18" i="11" s="1"/>
  <c r="AQ18" i="11" s="1"/>
  <c r="AR18" i="11" s="1"/>
  <c r="AS18" i="11" s="1"/>
  <c r="AT18" i="11" s="1"/>
  <c r="H14" i="11"/>
  <c r="I14" i="11" s="1"/>
  <c r="J14" i="11" s="1"/>
  <c r="K14" i="11" s="1"/>
  <c r="L14" i="11" s="1"/>
  <c r="M14" i="11" s="1"/>
  <c r="N14" i="11" s="1"/>
  <c r="O14" i="11" s="1"/>
  <c r="P14" i="11" s="1"/>
  <c r="Q14" i="11" s="1"/>
  <c r="R14" i="11" s="1"/>
  <c r="S14" i="11" s="1"/>
  <c r="T14" i="11" s="1"/>
  <c r="U14" i="11" s="1"/>
  <c r="V14" i="11" s="1"/>
  <c r="W14" i="11" s="1"/>
  <c r="X14" i="11" s="1"/>
  <c r="Y14" i="11" s="1"/>
  <c r="Z14" i="11" s="1"/>
  <c r="AA14" i="11" s="1"/>
  <c r="AB14" i="11" s="1"/>
  <c r="AC14" i="11" s="1"/>
  <c r="AD14" i="11" s="1"/>
  <c r="AE14" i="11" s="1"/>
  <c r="AF14" i="11" s="1"/>
  <c r="AG14" i="11" s="1"/>
  <c r="AH14" i="11" s="1"/>
  <c r="AI14" i="11" s="1"/>
  <c r="AJ14" i="11" s="1"/>
  <c r="AK14" i="11" s="1"/>
  <c r="AL14" i="11" s="1"/>
  <c r="AM14" i="11" s="1"/>
  <c r="AN14" i="11" s="1"/>
  <c r="AO14" i="11" s="1"/>
  <c r="AP14" i="11" s="1"/>
  <c r="AQ14" i="11" s="1"/>
  <c r="AR14" i="11" s="1"/>
  <c r="AS14" i="11" s="1"/>
  <c r="AT14" i="11" s="1"/>
  <c r="H24" i="11"/>
  <c r="I24" i="11" s="1"/>
  <c r="J24" i="11" s="1"/>
  <c r="K24" i="11" s="1"/>
  <c r="L24" i="11" s="1"/>
  <c r="M24" i="11" s="1"/>
  <c r="N24" i="11" s="1"/>
  <c r="O24" i="11" s="1"/>
  <c r="P24" i="11" s="1"/>
  <c r="Q24" i="11" s="1"/>
  <c r="R24" i="11" s="1"/>
  <c r="S24" i="11" s="1"/>
  <c r="T24" i="11" s="1"/>
  <c r="U24" i="11" s="1"/>
  <c r="V24" i="11" s="1"/>
  <c r="W24" i="11" s="1"/>
  <c r="X24" i="11" s="1"/>
  <c r="Y24" i="11" s="1"/>
  <c r="Z24" i="11" s="1"/>
  <c r="AA24" i="11" s="1"/>
  <c r="AB24" i="11" s="1"/>
  <c r="AC24" i="11" s="1"/>
  <c r="AD24" i="11" s="1"/>
  <c r="AE24" i="11" s="1"/>
  <c r="AF24" i="11" s="1"/>
  <c r="AG24" i="11" s="1"/>
  <c r="AH24" i="11" s="1"/>
  <c r="AI24" i="11" s="1"/>
  <c r="AJ24" i="11" s="1"/>
  <c r="AK24" i="11" s="1"/>
  <c r="AL24" i="11" s="1"/>
  <c r="AM24" i="11" s="1"/>
  <c r="AN24" i="11" s="1"/>
  <c r="AO24" i="11" s="1"/>
  <c r="AP24" i="11" s="1"/>
  <c r="AQ24" i="11" s="1"/>
  <c r="AR24" i="11" s="1"/>
  <c r="AS24" i="11" s="1"/>
  <c r="AT24" i="11" s="1"/>
  <c r="H31" i="11"/>
  <c r="I31" i="11" s="1"/>
  <c r="J31" i="11" s="1"/>
  <c r="K31" i="11" s="1"/>
  <c r="L31" i="11" s="1"/>
  <c r="M31" i="11" s="1"/>
  <c r="N31" i="11" s="1"/>
  <c r="O31" i="11" s="1"/>
  <c r="P31" i="11" s="1"/>
  <c r="Q31" i="11" s="1"/>
  <c r="R31" i="11" s="1"/>
  <c r="S31" i="11" s="1"/>
  <c r="T31" i="11" s="1"/>
  <c r="U31" i="11" s="1"/>
  <c r="V31" i="11" s="1"/>
  <c r="W31" i="11" s="1"/>
  <c r="X31" i="11" s="1"/>
  <c r="Y31" i="11" s="1"/>
  <c r="Z31" i="11" s="1"/>
  <c r="AA31" i="11" s="1"/>
  <c r="AB31" i="11" s="1"/>
  <c r="AC31" i="11" s="1"/>
  <c r="AD31" i="11" s="1"/>
  <c r="AE31" i="11" s="1"/>
  <c r="AF31" i="11" s="1"/>
  <c r="AG31" i="11" s="1"/>
  <c r="AH31" i="11" s="1"/>
  <c r="AI31" i="11" s="1"/>
  <c r="AJ31" i="11" s="1"/>
  <c r="AK31" i="11" s="1"/>
  <c r="AL31" i="11" s="1"/>
  <c r="AM31" i="11" s="1"/>
  <c r="AN31" i="11" s="1"/>
  <c r="AO31" i="11" s="1"/>
  <c r="AP31" i="11" s="1"/>
  <c r="AQ31" i="11" s="1"/>
  <c r="AR31" i="11" s="1"/>
  <c r="AS31" i="11" s="1"/>
  <c r="AT31" i="11" s="1"/>
  <c r="H27" i="11"/>
  <c r="I27" i="11" s="1"/>
  <c r="J27" i="11" s="1"/>
  <c r="K27" i="11" s="1"/>
  <c r="L27" i="11" s="1"/>
  <c r="M27" i="11" s="1"/>
  <c r="N27" i="11" s="1"/>
  <c r="O27" i="11" s="1"/>
  <c r="P27" i="11" s="1"/>
  <c r="Q27" i="11" s="1"/>
  <c r="R27" i="11" s="1"/>
  <c r="S27" i="11" s="1"/>
  <c r="T27" i="11" s="1"/>
  <c r="U27" i="11" s="1"/>
  <c r="H33" i="11"/>
  <c r="I33" i="11" s="1"/>
  <c r="J33" i="11" s="1"/>
  <c r="H45" i="11"/>
  <c r="I45" i="11" s="1"/>
  <c r="J45" i="11" s="1"/>
  <c r="K45" i="11" s="1"/>
  <c r="L45" i="11" s="1"/>
  <c r="M45" i="11" s="1"/>
  <c r="N45" i="11" s="1"/>
  <c r="O45" i="11" s="1"/>
  <c r="P45" i="11" s="1"/>
  <c r="Q45" i="11" s="1"/>
  <c r="R45" i="11" s="1"/>
  <c r="S45" i="11" s="1"/>
  <c r="T45" i="11" s="1"/>
  <c r="U45" i="11" s="1"/>
  <c r="V45" i="11" s="1"/>
  <c r="W45" i="11" s="1"/>
  <c r="X45" i="11" s="1"/>
  <c r="Y45" i="11" s="1"/>
  <c r="Z45" i="11" s="1"/>
  <c r="AA45" i="11" s="1"/>
  <c r="AB45" i="11" s="1"/>
  <c r="AC45" i="11" s="1"/>
  <c r="AD45" i="11" s="1"/>
  <c r="AE45" i="11" s="1"/>
  <c r="AF45" i="11" s="1"/>
  <c r="AG45" i="11" s="1"/>
  <c r="AH45" i="11" s="1"/>
  <c r="AI45" i="11" s="1"/>
  <c r="AJ45" i="11" s="1"/>
  <c r="AK45" i="11" s="1"/>
  <c r="AL45" i="11" s="1"/>
  <c r="AM45" i="11" s="1"/>
  <c r="AN45" i="11" s="1"/>
  <c r="AO45" i="11" s="1"/>
  <c r="AP45" i="11" s="1"/>
  <c r="AQ45" i="11" s="1"/>
  <c r="AR45" i="11" s="1"/>
  <c r="AS45" i="11" s="1"/>
  <c r="AT45" i="11" s="1"/>
  <c r="H41" i="11"/>
  <c r="I41" i="11" s="1"/>
  <c r="J41" i="11" s="1"/>
  <c r="K41" i="11" s="1"/>
  <c r="L41" i="11" s="1"/>
  <c r="M41" i="11" s="1"/>
  <c r="N41" i="11" s="1"/>
  <c r="O41" i="11" s="1"/>
  <c r="P41" i="11" s="1"/>
  <c r="Q41" i="11" s="1"/>
  <c r="R41" i="11" s="1"/>
  <c r="S41" i="11" s="1"/>
  <c r="T41" i="11" s="1"/>
  <c r="U41" i="11" s="1"/>
  <c r="V41" i="11" s="1"/>
  <c r="W41" i="11" s="1"/>
  <c r="X41" i="11" s="1"/>
  <c r="Y41" i="11" s="1"/>
  <c r="Z41" i="11" s="1"/>
  <c r="AA41" i="11" s="1"/>
  <c r="AB41" i="11" s="1"/>
  <c r="AC41" i="11" s="1"/>
  <c r="AD41" i="11" s="1"/>
  <c r="AE41" i="11" s="1"/>
  <c r="AF41" i="11" s="1"/>
  <c r="AG41" i="11" s="1"/>
  <c r="AH41" i="11" s="1"/>
  <c r="AI41" i="11" s="1"/>
  <c r="AJ41" i="11" s="1"/>
  <c r="AK41" i="11" s="1"/>
  <c r="AL41" i="11" s="1"/>
  <c r="AM41" i="11" s="1"/>
  <c r="AN41" i="11" s="1"/>
  <c r="AO41" i="11" s="1"/>
  <c r="AP41" i="11" s="1"/>
  <c r="AQ41" i="11" s="1"/>
  <c r="AR41" i="11" s="1"/>
  <c r="AS41" i="11" s="1"/>
  <c r="AT41" i="11" s="1"/>
  <c r="H56" i="11"/>
  <c r="I56" i="11" s="1"/>
  <c r="J56" i="11" s="1"/>
  <c r="K56" i="11" s="1"/>
  <c r="L56" i="11" s="1"/>
  <c r="M56" i="11" s="1"/>
  <c r="N56" i="11" s="1"/>
  <c r="O56" i="11" s="1"/>
  <c r="P56" i="11" s="1"/>
  <c r="Q56" i="11" s="1"/>
  <c r="R56" i="11" s="1"/>
  <c r="S56" i="11" s="1"/>
  <c r="T56" i="11" s="1"/>
  <c r="U56" i="11" s="1"/>
  <c r="V56" i="11" s="1"/>
  <c r="W56" i="11" s="1"/>
  <c r="X56" i="11" s="1"/>
  <c r="Y56" i="11" s="1"/>
  <c r="Z56" i="11" s="1"/>
  <c r="AA56" i="11" s="1"/>
  <c r="AB56" i="11" s="1"/>
  <c r="AC56" i="11" s="1"/>
  <c r="AD56" i="11" s="1"/>
  <c r="AE56" i="11" s="1"/>
  <c r="AF56" i="11" s="1"/>
  <c r="AG56" i="11" s="1"/>
  <c r="AH56" i="11" s="1"/>
  <c r="AI56" i="11" s="1"/>
  <c r="AJ56" i="11" s="1"/>
  <c r="AK56" i="11" s="1"/>
  <c r="AL56" i="11" s="1"/>
  <c r="AM56" i="11" s="1"/>
  <c r="AN56" i="11" s="1"/>
  <c r="AO56" i="11" s="1"/>
  <c r="AP56" i="11" s="1"/>
  <c r="AQ56" i="11" s="1"/>
  <c r="AR56" i="11" s="1"/>
  <c r="AS56" i="11" s="1"/>
  <c r="AT56" i="11" s="1"/>
  <c r="H52" i="11"/>
  <c r="I52" i="11" s="1"/>
  <c r="J52" i="11" s="1"/>
  <c r="K52" i="11" s="1"/>
  <c r="L52" i="11" s="1"/>
  <c r="M52" i="11" s="1"/>
  <c r="N52" i="11" s="1"/>
  <c r="O52" i="11" s="1"/>
  <c r="P52" i="11" s="1"/>
  <c r="Q52" i="11" s="1"/>
  <c r="R52" i="11" s="1"/>
  <c r="S52" i="11" s="1"/>
  <c r="T52" i="11" s="1"/>
  <c r="U52" i="11" s="1"/>
  <c r="V52" i="11" s="1"/>
  <c r="W52" i="11" s="1"/>
  <c r="X52" i="11" s="1"/>
  <c r="Y52" i="11" s="1"/>
  <c r="Z52" i="11" s="1"/>
  <c r="AA52" i="11" s="1"/>
  <c r="AB52" i="11" s="1"/>
  <c r="AC52" i="11" s="1"/>
  <c r="AD52" i="11" s="1"/>
  <c r="AE52" i="11" s="1"/>
  <c r="AF52" i="11" s="1"/>
  <c r="AG52" i="11" s="1"/>
  <c r="AH52" i="11" s="1"/>
  <c r="AI52" i="11" s="1"/>
  <c r="AJ52" i="11" s="1"/>
  <c r="AK52" i="11" s="1"/>
  <c r="AL52" i="11" s="1"/>
  <c r="AM52" i="11" s="1"/>
  <c r="AN52" i="11" s="1"/>
  <c r="AO52" i="11" s="1"/>
  <c r="AP52" i="11" s="1"/>
  <c r="AQ52" i="11" s="1"/>
  <c r="AR52" i="11" s="1"/>
  <c r="AS52" i="11" s="1"/>
  <c r="AT52" i="11" s="1"/>
  <c r="H60" i="11"/>
  <c r="I60" i="11" s="1"/>
  <c r="J60" i="11" s="1"/>
  <c r="K60" i="11" s="1"/>
  <c r="L60" i="11" s="1"/>
  <c r="M60" i="11" s="1"/>
  <c r="N60" i="11" s="1"/>
  <c r="O60" i="11" s="1"/>
  <c r="P60" i="11" s="1"/>
  <c r="Q60" i="11" s="1"/>
  <c r="R60" i="11" s="1"/>
  <c r="S60" i="11" s="1"/>
  <c r="T60" i="11" s="1"/>
  <c r="U60" i="11" s="1"/>
  <c r="V60" i="11" s="1"/>
  <c r="W60" i="11" s="1"/>
  <c r="X60" i="11" s="1"/>
  <c r="Y60" i="11" s="1"/>
  <c r="Z60" i="11" s="1"/>
  <c r="AA60" i="11" s="1"/>
  <c r="AB60" i="11" s="1"/>
  <c r="AC60" i="11" s="1"/>
  <c r="AD60" i="11" s="1"/>
  <c r="AE60" i="11" s="1"/>
  <c r="AF60" i="11" s="1"/>
  <c r="AG60" i="11" s="1"/>
  <c r="AH60" i="11" s="1"/>
  <c r="AI60" i="11" s="1"/>
  <c r="AJ60" i="11" s="1"/>
  <c r="AK60" i="11" s="1"/>
  <c r="AL60" i="11" s="1"/>
  <c r="AM60" i="11" s="1"/>
  <c r="AN60" i="11" s="1"/>
  <c r="AO60" i="11" s="1"/>
  <c r="AP60" i="11" s="1"/>
  <c r="AQ60" i="11" s="1"/>
  <c r="AR60" i="11" s="1"/>
  <c r="AS60" i="11" s="1"/>
  <c r="AT60" i="11" s="1"/>
  <c r="H67" i="11"/>
  <c r="I67" i="11" s="1"/>
  <c r="J67" i="11" s="1"/>
  <c r="H17" i="11"/>
  <c r="I17" i="11" s="1"/>
  <c r="J17" i="11" s="1"/>
  <c r="K17" i="11" s="1"/>
  <c r="L17" i="11" s="1"/>
  <c r="M17" i="11" s="1"/>
  <c r="N17" i="11" s="1"/>
  <c r="O17" i="11" s="1"/>
  <c r="P17" i="11" s="1"/>
  <c r="Q17" i="11" s="1"/>
  <c r="R17" i="11" s="1"/>
  <c r="S17" i="11" s="1"/>
  <c r="T17" i="11" s="1"/>
  <c r="U17" i="11" s="1"/>
  <c r="V17" i="11" s="1"/>
  <c r="W17" i="11" s="1"/>
  <c r="X17" i="11" s="1"/>
  <c r="Y17" i="11" s="1"/>
  <c r="Z17" i="11" s="1"/>
  <c r="AA17" i="11" s="1"/>
  <c r="AB17" i="11" s="1"/>
  <c r="AC17" i="11" s="1"/>
  <c r="AD17" i="11" s="1"/>
  <c r="AE17" i="11" s="1"/>
  <c r="AF17" i="11" s="1"/>
  <c r="AG17" i="11" s="1"/>
  <c r="AH17" i="11" s="1"/>
  <c r="AI17" i="11" s="1"/>
  <c r="AJ17" i="11" s="1"/>
  <c r="AK17" i="11" s="1"/>
  <c r="AL17" i="11" s="1"/>
  <c r="AM17" i="11" s="1"/>
  <c r="AN17" i="11" s="1"/>
  <c r="AO17" i="11" s="1"/>
  <c r="AP17" i="11" s="1"/>
  <c r="AQ17" i="11" s="1"/>
  <c r="AR17" i="11" s="1"/>
  <c r="AS17" i="11" s="1"/>
  <c r="AT17" i="11" s="1"/>
  <c r="H23" i="11"/>
  <c r="I23" i="11" s="1"/>
  <c r="J23" i="11" s="1"/>
  <c r="K23" i="11" s="1"/>
  <c r="L23" i="11" s="1"/>
  <c r="M23" i="11" s="1"/>
  <c r="N23" i="11" s="1"/>
  <c r="O23" i="11" s="1"/>
  <c r="P23" i="11" s="1"/>
  <c r="Q23" i="11" s="1"/>
  <c r="R23" i="11" s="1"/>
  <c r="S23" i="11" s="1"/>
  <c r="T23" i="11" s="1"/>
  <c r="U23" i="11" s="1"/>
  <c r="V23" i="11" s="1"/>
  <c r="W23" i="11" s="1"/>
  <c r="X23" i="11" s="1"/>
  <c r="Y23" i="11" s="1"/>
  <c r="Z23" i="11" s="1"/>
  <c r="AA23" i="11" s="1"/>
  <c r="AB23" i="11" s="1"/>
  <c r="AC23" i="11" s="1"/>
  <c r="AD23" i="11" s="1"/>
  <c r="AE23" i="11" s="1"/>
  <c r="AF23" i="11" s="1"/>
  <c r="AG23" i="11" s="1"/>
  <c r="AH23" i="11" s="1"/>
  <c r="AI23" i="11" s="1"/>
  <c r="AJ23" i="11" s="1"/>
  <c r="AK23" i="11" s="1"/>
  <c r="AL23" i="11" s="1"/>
  <c r="AM23" i="11" s="1"/>
  <c r="AN23" i="11" s="1"/>
  <c r="AO23" i="11" s="1"/>
  <c r="AP23" i="11" s="1"/>
  <c r="AQ23" i="11" s="1"/>
  <c r="AR23" i="11" s="1"/>
  <c r="AS23" i="11" s="1"/>
  <c r="AT23" i="11" s="1"/>
  <c r="H48" i="11"/>
  <c r="I48" i="11" s="1"/>
  <c r="J48" i="11" s="1"/>
  <c r="K48" i="11" s="1"/>
  <c r="L48" i="11" s="1"/>
  <c r="M48" i="11" s="1"/>
  <c r="N48" i="11" s="1"/>
  <c r="O48" i="11" s="1"/>
  <c r="P48" i="11" s="1"/>
  <c r="Q48" i="11" s="1"/>
  <c r="R48" i="11" s="1"/>
  <c r="S48" i="11" s="1"/>
  <c r="T48" i="11" s="1"/>
  <c r="U48" i="11" s="1"/>
  <c r="V48" i="11" s="1"/>
  <c r="W48" i="11" s="1"/>
  <c r="X48" i="11" s="1"/>
  <c r="Y48" i="11" s="1"/>
  <c r="Z48" i="11" s="1"/>
  <c r="AA48" i="11" s="1"/>
  <c r="AB48" i="11" s="1"/>
  <c r="AC48" i="11" s="1"/>
  <c r="AD48" i="11" s="1"/>
  <c r="AE48" i="11" s="1"/>
  <c r="AF48" i="11" s="1"/>
  <c r="AG48" i="11" s="1"/>
  <c r="AH48" i="11" s="1"/>
  <c r="AI48" i="11" s="1"/>
  <c r="AJ48" i="11" s="1"/>
  <c r="AK48" i="11" s="1"/>
  <c r="AL48" i="11" s="1"/>
  <c r="AM48" i="11" s="1"/>
  <c r="AN48" i="11" s="1"/>
  <c r="AO48" i="11" s="1"/>
  <c r="AP48" i="11" s="1"/>
  <c r="AQ48" i="11" s="1"/>
  <c r="AR48" i="11" s="1"/>
  <c r="AS48" i="11" s="1"/>
  <c r="AT48" i="11" s="1"/>
  <c r="H44" i="11"/>
  <c r="I44" i="11" s="1"/>
  <c r="J44" i="11" s="1"/>
  <c r="K44" i="11" s="1"/>
  <c r="L44" i="11" s="1"/>
  <c r="M44" i="11" s="1"/>
  <c r="N44" i="11" s="1"/>
  <c r="O44" i="11" s="1"/>
  <c r="P44" i="11" s="1"/>
  <c r="Q44" i="11" s="1"/>
  <c r="R44" i="11" s="1"/>
  <c r="S44" i="11" s="1"/>
  <c r="T44" i="11" s="1"/>
  <c r="U44" i="11" s="1"/>
  <c r="V44" i="11" s="1"/>
  <c r="W44" i="11" s="1"/>
  <c r="X44" i="11" s="1"/>
  <c r="Y44" i="11" s="1"/>
  <c r="Z44" i="11" s="1"/>
  <c r="AA44" i="11" s="1"/>
  <c r="AB44" i="11" s="1"/>
  <c r="AC44" i="11" s="1"/>
  <c r="AD44" i="11" s="1"/>
  <c r="AE44" i="11" s="1"/>
  <c r="AF44" i="11" s="1"/>
  <c r="AG44" i="11" s="1"/>
  <c r="AH44" i="11" s="1"/>
  <c r="AI44" i="11" s="1"/>
  <c r="AJ44" i="11" s="1"/>
  <c r="AK44" i="11" s="1"/>
  <c r="AL44" i="11" s="1"/>
  <c r="AM44" i="11" s="1"/>
  <c r="AN44" i="11" s="1"/>
  <c r="AO44" i="11" s="1"/>
  <c r="AP44" i="11" s="1"/>
  <c r="AQ44" i="11" s="1"/>
  <c r="AR44" i="11" s="1"/>
  <c r="AS44" i="11" s="1"/>
  <c r="AT44" i="11" s="1"/>
  <c r="H55" i="11"/>
  <c r="I55" i="11" s="1"/>
  <c r="J55" i="11" s="1"/>
  <c r="K55" i="11" s="1"/>
  <c r="L55" i="11" s="1"/>
  <c r="M55" i="11" s="1"/>
  <c r="N55" i="11" s="1"/>
  <c r="O55" i="11" s="1"/>
  <c r="P55" i="11" s="1"/>
  <c r="Q55" i="11" s="1"/>
  <c r="R55" i="11" s="1"/>
  <c r="S55" i="11" s="1"/>
  <c r="T55" i="11" s="1"/>
  <c r="U55" i="11" s="1"/>
  <c r="V55" i="11" s="1"/>
  <c r="W55" i="11" s="1"/>
  <c r="X55" i="11" s="1"/>
  <c r="Y55" i="11" s="1"/>
  <c r="Z55" i="11" s="1"/>
  <c r="AA55" i="11" s="1"/>
  <c r="AB55" i="11" s="1"/>
  <c r="AC55" i="11" s="1"/>
  <c r="AD55" i="11" s="1"/>
  <c r="AE55" i="11" s="1"/>
  <c r="AF55" i="11" s="1"/>
  <c r="AG55" i="11" s="1"/>
  <c r="AH55" i="11" s="1"/>
  <c r="AI55" i="11" s="1"/>
  <c r="AJ55" i="11" s="1"/>
  <c r="AK55" i="11" s="1"/>
  <c r="AL55" i="11" s="1"/>
  <c r="AM55" i="11" s="1"/>
  <c r="AN55" i="11" s="1"/>
  <c r="AO55" i="11" s="1"/>
  <c r="AP55" i="11" s="1"/>
  <c r="AQ55" i="11" s="1"/>
  <c r="AR55" i="11" s="1"/>
  <c r="AS55" i="11" s="1"/>
  <c r="AT55" i="11" s="1"/>
  <c r="H51" i="11"/>
  <c r="I51" i="11" s="1"/>
  <c r="J51" i="11" s="1"/>
  <c r="K51" i="11" s="1"/>
  <c r="L51" i="11" s="1"/>
  <c r="M51" i="11" s="1"/>
  <c r="N51" i="11" s="1"/>
  <c r="O51" i="11" s="1"/>
  <c r="P51" i="11" s="1"/>
  <c r="Q51" i="11" s="1"/>
  <c r="R51" i="11" s="1"/>
  <c r="S51" i="11" s="1"/>
  <c r="T51" i="11" s="1"/>
  <c r="U51" i="11" s="1"/>
  <c r="V51" i="11" s="1"/>
  <c r="W51" i="11" s="1"/>
  <c r="X51" i="11" s="1"/>
  <c r="Y51" i="11" s="1"/>
  <c r="Z51" i="11" s="1"/>
  <c r="AA51" i="11" s="1"/>
  <c r="AB51" i="11" s="1"/>
  <c r="AC51" i="11" s="1"/>
  <c r="AD51" i="11" s="1"/>
  <c r="AE51" i="11" s="1"/>
  <c r="AF51" i="11" s="1"/>
  <c r="AG51" i="11" s="1"/>
  <c r="AH51" i="11" s="1"/>
  <c r="AI51" i="11" s="1"/>
  <c r="AJ51" i="11" s="1"/>
  <c r="AK51" i="11" s="1"/>
  <c r="AL51" i="11" s="1"/>
  <c r="AM51" i="11" s="1"/>
  <c r="AN51" i="11" s="1"/>
  <c r="AO51" i="11" s="1"/>
  <c r="AP51" i="11" s="1"/>
  <c r="AQ51" i="11" s="1"/>
  <c r="AR51" i="11" s="1"/>
  <c r="AS51" i="11" s="1"/>
  <c r="AT51" i="11" s="1"/>
  <c r="H59" i="11"/>
  <c r="I59" i="11" s="1"/>
  <c r="J59" i="11" s="1"/>
  <c r="AV79" i="3"/>
  <c r="H20" i="11"/>
  <c r="I20" i="11" s="1"/>
  <c r="J20" i="11" s="1"/>
  <c r="K20" i="11" s="1"/>
  <c r="L20" i="11" s="1"/>
  <c r="M20" i="11" s="1"/>
  <c r="N20" i="11" s="1"/>
  <c r="O20" i="11" s="1"/>
  <c r="P20" i="11" s="1"/>
  <c r="Q20" i="11" s="1"/>
  <c r="R20" i="11" s="1"/>
  <c r="S20" i="11" s="1"/>
  <c r="T20" i="11" s="1"/>
  <c r="U20" i="11" s="1"/>
  <c r="V20" i="11" s="1"/>
  <c r="W20" i="11" s="1"/>
  <c r="X20" i="11" s="1"/>
  <c r="Y20" i="11" s="1"/>
  <c r="Z20" i="11" s="1"/>
  <c r="AA20" i="11" s="1"/>
  <c r="AB20" i="11" s="1"/>
  <c r="AC20" i="11" s="1"/>
  <c r="AD20" i="11" s="1"/>
  <c r="AE20" i="11" s="1"/>
  <c r="AF20" i="11" s="1"/>
  <c r="AG20" i="11" s="1"/>
  <c r="AH20" i="11" s="1"/>
  <c r="AI20" i="11" s="1"/>
  <c r="AJ20" i="11" s="1"/>
  <c r="AK20" i="11" s="1"/>
  <c r="AL20" i="11" s="1"/>
  <c r="AM20" i="11" s="1"/>
  <c r="AN20" i="11" s="1"/>
  <c r="AO20" i="11" s="1"/>
  <c r="AP20" i="11" s="1"/>
  <c r="AQ20" i="11" s="1"/>
  <c r="AR20" i="11" s="1"/>
  <c r="AS20" i="11" s="1"/>
  <c r="AT20" i="11" s="1"/>
  <c r="H16" i="11"/>
  <c r="I16" i="11" s="1"/>
  <c r="J16" i="11" s="1"/>
  <c r="K16" i="11" s="1"/>
  <c r="L16" i="11" s="1"/>
  <c r="M16" i="11" s="1"/>
  <c r="N16" i="11" s="1"/>
  <c r="O16" i="11" s="1"/>
  <c r="P16" i="11" s="1"/>
  <c r="Q16" i="11" s="1"/>
  <c r="R16" i="11" s="1"/>
  <c r="S16" i="11" s="1"/>
  <c r="T16" i="11" s="1"/>
  <c r="U16" i="11" s="1"/>
  <c r="V16" i="11" s="1"/>
  <c r="W16" i="11" s="1"/>
  <c r="X16" i="11" s="1"/>
  <c r="Y16" i="11" s="1"/>
  <c r="Z16" i="11" s="1"/>
  <c r="AA16" i="11" s="1"/>
  <c r="AB16" i="11" s="1"/>
  <c r="AC16" i="11" s="1"/>
  <c r="AD16" i="11" s="1"/>
  <c r="AE16" i="11" s="1"/>
  <c r="AF16" i="11" s="1"/>
  <c r="AG16" i="11" s="1"/>
  <c r="AH16" i="11" s="1"/>
  <c r="AI16" i="11" s="1"/>
  <c r="AJ16" i="11" s="1"/>
  <c r="AK16" i="11" s="1"/>
  <c r="AL16" i="11" s="1"/>
  <c r="AM16" i="11" s="1"/>
  <c r="AN16" i="11" s="1"/>
  <c r="AO16" i="11" s="1"/>
  <c r="AP16" i="11" s="1"/>
  <c r="AQ16" i="11" s="1"/>
  <c r="AR16" i="11" s="1"/>
  <c r="AS16" i="11" s="1"/>
  <c r="AT16" i="11" s="1"/>
  <c r="H12" i="11"/>
  <c r="I12" i="11" s="1"/>
  <c r="J12" i="11" s="1"/>
  <c r="K12" i="11" s="1"/>
  <c r="L12" i="11" s="1"/>
  <c r="M12" i="11" s="1"/>
  <c r="N12" i="11" s="1"/>
  <c r="O12" i="11" s="1"/>
  <c r="P12" i="11" s="1"/>
  <c r="Q12" i="11" s="1"/>
  <c r="R12" i="11" s="1"/>
  <c r="S12" i="11" s="1"/>
  <c r="T12" i="11" s="1"/>
  <c r="H29" i="11"/>
  <c r="I29" i="11" s="1"/>
  <c r="J29" i="11" s="1"/>
  <c r="K29" i="11" s="1"/>
  <c r="L29" i="11" s="1"/>
  <c r="M29" i="11" s="1"/>
  <c r="N29" i="11" s="1"/>
  <c r="O29" i="11" s="1"/>
  <c r="P29" i="11" s="1"/>
  <c r="Q29" i="11" s="1"/>
  <c r="R29" i="11" s="1"/>
  <c r="S29" i="11" s="1"/>
  <c r="T29" i="11" s="1"/>
  <c r="U29" i="11" s="1"/>
  <c r="V29" i="11" s="1"/>
  <c r="W29" i="11" s="1"/>
  <c r="X29" i="11" s="1"/>
  <c r="Y29" i="11" s="1"/>
  <c r="Z29" i="11" s="1"/>
  <c r="AA29" i="11" s="1"/>
  <c r="AB29" i="11" s="1"/>
  <c r="AC29" i="11" s="1"/>
  <c r="AD29" i="11" s="1"/>
  <c r="AE29" i="11" s="1"/>
  <c r="AF29" i="11" s="1"/>
  <c r="AG29" i="11" s="1"/>
  <c r="AH29" i="11" s="1"/>
  <c r="AI29" i="11" s="1"/>
  <c r="AJ29" i="11" s="1"/>
  <c r="AK29" i="11" s="1"/>
  <c r="AL29" i="11" s="1"/>
  <c r="AM29" i="11" s="1"/>
  <c r="AN29" i="11" s="1"/>
  <c r="AO29" i="11" s="1"/>
  <c r="AP29" i="11" s="1"/>
  <c r="AQ29" i="11" s="1"/>
  <c r="AR29" i="11" s="1"/>
  <c r="AS29" i="11" s="1"/>
  <c r="AT29" i="11" s="1"/>
  <c r="H35" i="11"/>
  <c r="I35" i="11" s="1"/>
  <c r="J35" i="11" s="1"/>
  <c r="K35" i="11" s="1"/>
  <c r="L35" i="11" s="1"/>
  <c r="M35" i="11" s="1"/>
  <c r="N35" i="11" s="1"/>
  <c r="O35" i="11" s="1"/>
  <c r="P35" i="11" s="1"/>
  <c r="Q35" i="11" s="1"/>
  <c r="R35" i="11" s="1"/>
  <c r="S35" i="11" s="1"/>
  <c r="T35" i="11" s="1"/>
  <c r="U35" i="11" s="1"/>
  <c r="V35" i="11" s="1"/>
  <c r="W35" i="11" s="1"/>
  <c r="X35" i="11" s="1"/>
  <c r="Y35" i="11" s="1"/>
  <c r="Z35" i="11" s="1"/>
  <c r="AA35" i="11" s="1"/>
  <c r="AB35" i="11" s="1"/>
  <c r="AC35" i="11" s="1"/>
  <c r="AD35" i="11" s="1"/>
  <c r="AE35" i="11" s="1"/>
  <c r="AF35" i="11" s="1"/>
  <c r="AG35" i="11" s="1"/>
  <c r="AH35" i="11" s="1"/>
  <c r="AI35" i="11" s="1"/>
  <c r="AJ35" i="11" s="1"/>
  <c r="AK35" i="11" s="1"/>
  <c r="AL35" i="11" s="1"/>
  <c r="AM35" i="11" s="1"/>
  <c r="AN35" i="11" s="1"/>
  <c r="AO35" i="11" s="1"/>
  <c r="AP35" i="11" s="1"/>
  <c r="AQ35" i="11" s="1"/>
  <c r="AR35" i="11" s="1"/>
  <c r="AS35" i="11" s="1"/>
  <c r="AT35" i="11" s="1"/>
  <c r="H43" i="11"/>
  <c r="I43" i="11" s="1"/>
  <c r="J43" i="11" s="1"/>
  <c r="K43" i="11" s="1"/>
  <c r="L43" i="11" s="1"/>
  <c r="M43" i="11" s="1"/>
  <c r="N43" i="11" s="1"/>
  <c r="O43" i="11" s="1"/>
  <c r="P43" i="11" s="1"/>
  <c r="Q43" i="11" s="1"/>
  <c r="R43" i="11" s="1"/>
  <c r="S43" i="11" s="1"/>
  <c r="T43" i="11" s="1"/>
  <c r="U43" i="11" s="1"/>
  <c r="V43" i="11" s="1"/>
  <c r="W43" i="11" s="1"/>
  <c r="X43" i="11" s="1"/>
  <c r="Y43" i="11" s="1"/>
  <c r="Z43" i="11" s="1"/>
  <c r="AA43" i="11" s="1"/>
  <c r="AB43" i="11" s="1"/>
  <c r="AC43" i="11" s="1"/>
  <c r="AD43" i="11" s="1"/>
  <c r="AE43" i="11" s="1"/>
  <c r="AF43" i="11" s="1"/>
  <c r="AG43" i="11" s="1"/>
  <c r="AH43" i="11" s="1"/>
  <c r="AI43" i="11" s="1"/>
  <c r="AJ43" i="11" s="1"/>
  <c r="AK43" i="11" s="1"/>
  <c r="AL43" i="11" s="1"/>
  <c r="AM43" i="11" s="1"/>
  <c r="AN43" i="11" s="1"/>
  <c r="AO43" i="11" s="1"/>
  <c r="AP43" i="11" s="1"/>
  <c r="AQ43" i="11" s="1"/>
  <c r="AR43" i="11" s="1"/>
  <c r="AS43" i="11" s="1"/>
  <c r="AT43" i="11" s="1"/>
  <c r="H39" i="11"/>
  <c r="I39" i="11" s="1"/>
  <c r="J39" i="11" s="1"/>
  <c r="K39" i="11" s="1"/>
  <c r="L39" i="11" s="1"/>
  <c r="M39" i="11" s="1"/>
  <c r="N39" i="11" s="1"/>
  <c r="O39" i="11" s="1"/>
  <c r="P39" i="11" s="1"/>
  <c r="Q39" i="11" s="1"/>
  <c r="R39" i="11" s="1"/>
  <c r="S39" i="11" s="1"/>
  <c r="T39" i="11" s="1"/>
  <c r="U39" i="11" s="1"/>
  <c r="V39" i="11" s="1"/>
  <c r="W39" i="11" s="1"/>
  <c r="X39" i="11" s="1"/>
  <c r="Y39" i="11" s="1"/>
  <c r="Z39" i="11" s="1"/>
  <c r="AA39" i="11" s="1"/>
  <c r="AB39" i="11" s="1"/>
  <c r="AC39" i="11" s="1"/>
  <c r="AD39" i="11" s="1"/>
  <c r="AE39" i="11" s="1"/>
  <c r="AF39" i="11" s="1"/>
  <c r="AG39" i="11" s="1"/>
  <c r="AH39" i="11" s="1"/>
  <c r="AI39" i="11" s="1"/>
  <c r="AJ39" i="11" s="1"/>
  <c r="AK39" i="11" s="1"/>
  <c r="AL39" i="11" s="1"/>
  <c r="AM39" i="11" s="1"/>
  <c r="AN39" i="11" s="1"/>
  <c r="AO39" i="11" s="1"/>
  <c r="AP39" i="11" s="1"/>
  <c r="AQ39" i="11" s="1"/>
  <c r="AR39" i="11" s="1"/>
  <c r="AS39" i="11" s="1"/>
  <c r="AT39" i="11" s="1"/>
  <c r="H54" i="11"/>
  <c r="I54" i="11" s="1"/>
  <c r="J54" i="11" s="1"/>
  <c r="H50" i="11"/>
  <c r="I50" i="11" s="1"/>
  <c r="J50" i="11" s="1"/>
  <c r="K50" i="11" s="1"/>
  <c r="L50" i="11" s="1"/>
  <c r="M50" i="11" s="1"/>
  <c r="N50" i="11" s="1"/>
  <c r="O50" i="11" s="1"/>
  <c r="P50" i="11" s="1"/>
  <c r="Q50" i="11" s="1"/>
  <c r="R50" i="11" s="1"/>
  <c r="S50" i="11" s="1"/>
  <c r="T50" i="11" s="1"/>
  <c r="U50" i="11" s="1"/>
  <c r="H65" i="11"/>
  <c r="I65" i="11" s="1"/>
  <c r="J65" i="11" s="1"/>
  <c r="K65" i="11" s="1"/>
  <c r="L65" i="11" s="1"/>
  <c r="M65" i="11" s="1"/>
  <c r="N65" i="11" s="1"/>
  <c r="O65" i="11" s="1"/>
  <c r="P65" i="11" s="1"/>
  <c r="Q65" i="11" s="1"/>
  <c r="R65" i="11" s="1"/>
  <c r="S65" i="11" s="1"/>
  <c r="T65" i="11" s="1"/>
  <c r="U65" i="11" s="1"/>
  <c r="V65" i="11" s="1"/>
  <c r="W65" i="11" s="1"/>
  <c r="X65" i="11" s="1"/>
  <c r="Y65" i="11" s="1"/>
  <c r="Z65" i="11" s="1"/>
  <c r="AA65" i="11" s="1"/>
  <c r="AB65" i="11" s="1"/>
  <c r="AC65" i="11" s="1"/>
  <c r="AD65" i="11" s="1"/>
  <c r="AE65" i="11" s="1"/>
  <c r="AF65" i="11" s="1"/>
  <c r="AG65" i="11" s="1"/>
  <c r="AH65" i="11" s="1"/>
  <c r="AI65" i="11" s="1"/>
  <c r="AJ65" i="11" s="1"/>
  <c r="AK65" i="11" s="1"/>
  <c r="AL65" i="11" s="1"/>
  <c r="AM65" i="11" s="1"/>
  <c r="AN65" i="11" s="1"/>
  <c r="AO65" i="11" s="1"/>
  <c r="AP65" i="11" s="1"/>
  <c r="AQ65" i="11" s="1"/>
  <c r="AR65" i="11" s="1"/>
  <c r="AS65" i="11" s="1"/>
  <c r="AT65" i="11" s="1"/>
  <c r="AX25" i="3"/>
  <c r="I42" i="2"/>
  <c r="M42" i="2" s="1"/>
  <c r="J22" i="2"/>
  <c r="J52" i="2"/>
  <c r="C43" i="5"/>
  <c r="D43" i="5" s="1"/>
  <c r="AM94" i="3"/>
  <c r="AM95" i="3" s="1"/>
  <c r="AM97" i="3" s="1"/>
  <c r="AM98" i="3" s="1"/>
  <c r="M125" i="2"/>
  <c r="C58" i="5"/>
  <c r="D58" i="5" s="1"/>
  <c r="E58" i="5" s="1"/>
  <c r="I64" i="2"/>
  <c r="M64" i="2" s="1"/>
  <c r="J32" i="2"/>
  <c r="K100" i="2"/>
  <c r="I128" i="2"/>
  <c r="M128" i="2" s="1"/>
  <c r="I92" i="2"/>
  <c r="M92" i="2" s="1"/>
  <c r="C14" i="5"/>
  <c r="D14" i="5" s="1"/>
  <c r="E14" i="5" s="1"/>
  <c r="C65" i="5"/>
  <c r="D65" i="5" s="1"/>
  <c r="E65" i="5" s="1"/>
  <c r="I29" i="2"/>
  <c r="M29" i="2" s="1"/>
  <c r="K70" i="2"/>
  <c r="J83" i="2"/>
  <c r="J59" i="2"/>
  <c r="J105" i="2"/>
  <c r="I69" i="2"/>
  <c r="R69" i="2" s="1"/>
  <c r="K71" i="2"/>
  <c r="C121" i="5"/>
  <c r="E121" i="5" s="1"/>
  <c r="C126" i="5"/>
  <c r="E126" i="5" s="1"/>
  <c r="C116" i="7"/>
  <c r="P57" i="7"/>
  <c r="L4" i="11"/>
  <c r="K8" i="11"/>
  <c r="G93" i="3"/>
  <c r="J63" i="2"/>
  <c r="K115" i="2"/>
  <c r="M115" i="2"/>
  <c r="C57" i="5"/>
  <c r="D57" i="5" s="1"/>
  <c r="BB81" i="3"/>
  <c r="U17" i="9"/>
  <c r="P27" i="9" s="1"/>
  <c r="Q27" i="9" s="1"/>
  <c r="I105" i="2"/>
  <c r="R105" i="2" s="1"/>
  <c r="I63" i="2"/>
  <c r="M63" i="2" s="1"/>
  <c r="K3" i="2"/>
  <c r="C108" i="5"/>
  <c r="D108" i="5" s="1"/>
  <c r="E108" i="5" s="1"/>
  <c r="C9" i="5"/>
  <c r="D9" i="5" s="1"/>
  <c r="E9" i="5" s="1"/>
  <c r="AW93" i="3"/>
  <c r="AX93" i="3" s="1"/>
  <c r="K59" i="2"/>
  <c r="I67" i="2"/>
  <c r="R67" i="2" s="1"/>
  <c r="J115" i="2"/>
  <c r="I3" i="2"/>
  <c r="J110" i="2"/>
  <c r="C4" i="5"/>
  <c r="D4" i="5" s="1"/>
  <c r="E4" i="5" s="1"/>
  <c r="C91" i="5"/>
  <c r="E91" i="5" s="1"/>
  <c r="U81" i="3"/>
  <c r="BG81" i="3" s="1"/>
  <c r="BG80" i="3"/>
  <c r="N81" i="3"/>
  <c r="N82" i="3" s="1"/>
  <c r="N83" i="3" s="1"/>
  <c r="N84" i="3" s="1"/>
  <c r="N85" i="3" s="1"/>
  <c r="N86" i="3" s="1"/>
  <c r="N87" i="3" s="1"/>
  <c r="N88" i="3" s="1"/>
  <c r="N89" i="3" s="1"/>
  <c r="N90" i="3" s="1"/>
  <c r="N91" i="3" s="1"/>
  <c r="N92" i="3" s="1"/>
  <c r="S67" i="3"/>
  <c r="J70" i="2"/>
  <c r="T12" i="9"/>
  <c r="V12" i="9" s="1"/>
  <c r="J94" i="3"/>
  <c r="BF80" i="3"/>
  <c r="L67" i="3"/>
  <c r="AG67" i="3"/>
  <c r="C52" i="5"/>
  <c r="E52" i="5" s="1"/>
  <c r="K28" i="2"/>
  <c r="J44" i="2"/>
  <c r="Z67" i="3"/>
  <c r="E68" i="3"/>
  <c r="Z68" i="3" s="1"/>
  <c r="C90" i="5"/>
  <c r="E90" i="5" s="1"/>
  <c r="K32" i="2"/>
  <c r="AV65" i="3"/>
  <c r="J10" i="2"/>
  <c r="AW65" i="3"/>
  <c r="S25" i="9" s="1"/>
  <c r="U25" i="9" s="1"/>
  <c r="AX51" i="3"/>
  <c r="S24" i="9"/>
  <c r="U24" i="9" s="1"/>
  <c r="I48" i="2"/>
  <c r="J36" i="2"/>
  <c r="I22" i="2"/>
  <c r="M22" i="2" s="1"/>
  <c r="C5" i="5"/>
  <c r="D5" i="5" s="1"/>
  <c r="E5" i="5" s="1"/>
  <c r="C74" i="5"/>
  <c r="D74" i="5" s="1"/>
  <c r="E74" i="5" s="1"/>
  <c r="K52" i="2"/>
  <c r="I93" i="2"/>
  <c r="M93" i="2" s="1"/>
  <c r="K4" i="2"/>
  <c r="K63" i="2"/>
  <c r="J67" i="2"/>
  <c r="I71" i="2"/>
  <c r="M71" i="2" s="1"/>
  <c r="J42" i="2"/>
  <c r="I26" i="2"/>
  <c r="M26" i="2" s="1"/>
  <c r="K116" i="2"/>
  <c r="I8" i="2"/>
  <c r="J123" i="2"/>
  <c r="K29" i="2"/>
  <c r="I99" i="2"/>
  <c r="R99" i="2" s="1"/>
  <c r="K8" i="2"/>
  <c r="C31" i="5"/>
  <c r="D31" i="5" s="1"/>
  <c r="E31" i="5" s="1"/>
  <c r="M110" i="2"/>
  <c r="C49" i="5"/>
  <c r="E49" i="5" s="1"/>
  <c r="C103" i="5"/>
  <c r="E103" i="5" s="1"/>
  <c r="C23" i="5"/>
  <c r="D23" i="5" s="1"/>
  <c r="K111" i="2"/>
  <c r="I76" i="2"/>
  <c r="M76" i="2" s="1"/>
  <c r="J100" i="2"/>
  <c r="J13" i="2"/>
  <c r="R52" i="2"/>
  <c r="C114" i="5"/>
  <c r="E114" i="5" s="1"/>
  <c r="M36" i="2"/>
  <c r="I32" i="2"/>
  <c r="M32" i="2" s="1"/>
  <c r="J4" i="2"/>
  <c r="K67" i="2"/>
  <c r="J71" i="2"/>
  <c r="I100" i="2"/>
  <c r="K26" i="2"/>
  <c r="I116" i="2"/>
  <c r="M116" i="2" s="1"/>
  <c r="K128" i="2"/>
  <c r="K110" i="2"/>
  <c r="K123" i="2"/>
  <c r="C87" i="5"/>
  <c r="E87" i="5" s="1"/>
  <c r="C104" i="5"/>
  <c r="E104" i="5" s="1"/>
  <c r="C113" i="5"/>
  <c r="E113" i="5" s="1"/>
  <c r="C27" i="5"/>
  <c r="D27" i="5" s="1"/>
  <c r="C62" i="5"/>
  <c r="D62" i="5" s="1"/>
  <c r="E62" i="5" s="1"/>
  <c r="K76" i="2"/>
  <c r="J111" i="2"/>
  <c r="Y94" i="3"/>
  <c r="Y95" i="3" s="1"/>
  <c r="F94" i="3"/>
  <c r="B35" i="12" s="1"/>
  <c r="M23" i="2"/>
  <c r="J101" i="2"/>
  <c r="AW37" i="3"/>
  <c r="S23" i="9" s="1"/>
  <c r="U23" i="9" s="1"/>
  <c r="BG24" i="3"/>
  <c r="U25" i="3"/>
  <c r="U26" i="3" s="1"/>
  <c r="U27" i="3" s="1"/>
  <c r="U28" i="3" s="1"/>
  <c r="U29" i="3" s="1"/>
  <c r="U30" i="3" s="1"/>
  <c r="U31" i="3" s="1"/>
  <c r="R44" i="2"/>
  <c r="C25" i="5"/>
  <c r="D25" i="5" s="1"/>
  <c r="E25" i="5" s="1"/>
  <c r="C81" i="5"/>
  <c r="D81" i="5" s="1"/>
  <c r="E81" i="5" s="1"/>
  <c r="I70" i="2"/>
  <c r="M70" i="2" s="1"/>
  <c r="K94" i="3"/>
  <c r="K95" i="3" s="1"/>
  <c r="K97" i="3" s="1"/>
  <c r="K98" i="3" s="1"/>
  <c r="BF24" i="3"/>
  <c r="K83" i="2"/>
  <c r="I96" i="2"/>
  <c r="M96" i="2" s="1"/>
  <c r="J77" i="2"/>
  <c r="M24" i="2"/>
  <c r="I88" i="2"/>
  <c r="R88" i="2" s="1"/>
  <c r="K88" i="2"/>
  <c r="C86" i="5"/>
  <c r="E86" i="5" s="1"/>
  <c r="J24" i="2"/>
  <c r="I34" i="2"/>
  <c r="R34" i="2" s="1"/>
  <c r="I13" i="2"/>
  <c r="K92" i="2"/>
  <c r="C123" i="5"/>
  <c r="E123" i="5" s="1"/>
  <c r="C37" i="5"/>
  <c r="E37" i="5" s="1"/>
  <c r="C54" i="5"/>
  <c r="E54" i="5" s="1"/>
  <c r="C45" i="5"/>
  <c r="D45" i="5" s="1"/>
  <c r="E45" i="5" s="1"/>
  <c r="C68" i="5"/>
  <c r="D68" i="5" s="1"/>
  <c r="J125" i="2"/>
  <c r="BC19" i="3"/>
  <c r="BC15" i="3"/>
  <c r="BC20" i="3"/>
  <c r="BC16" i="3"/>
  <c r="BB84" i="3"/>
  <c r="C85" i="3"/>
  <c r="BB70" i="3"/>
  <c r="AV93" i="3"/>
  <c r="E40" i="3"/>
  <c r="BC27" i="3"/>
  <c r="AU39" i="3"/>
  <c r="Q94" i="3"/>
  <c r="C75" i="5"/>
  <c r="D75" i="5" s="1"/>
  <c r="E75" i="5" s="1"/>
  <c r="S15" i="9"/>
  <c r="S17" i="9" s="1"/>
  <c r="P25" i="9" s="1"/>
  <c r="R16" i="9"/>
  <c r="V16" i="9" s="1"/>
  <c r="AT94" i="3"/>
  <c r="AT95" i="3" s="1"/>
  <c r="AF94" i="3"/>
  <c r="AF95" i="3" s="1"/>
  <c r="AF97" i="3" s="1"/>
  <c r="AF98" i="3" s="1"/>
  <c r="R94" i="3"/>
  <c r="R95" i="3" s="1"/>
  <c r="R97" i="3" s="1"/>
  <c r="R98" i="3" s="1"/>
  <c r="H94" i="3"/>
  <c r="C6" i="6" s="1"/>
  <c r="BC21" i="3"/>
  <c r="BC33" i="3"/>
  <c r="BC29" i="3"/>
  <c r="BC66" i="3"/>
  <c r="BC83" i="3"/>
  <c r="AS94" i="3"/>
  <c r="AV51" i="3"/>
  <c r="K49" i="2"/>
  <c r="BC68" i="3"/>
  <c r="AG39" i="3"/>
  <c r="BC31" i="3"/>
  <c r="Z39" i="3"/>
  <c r="C71" i="5"/>
  <c r="E71" i="5" s="1"/>
  <c r="BB40" i="3"/>
  <c r="AB80" i="3"/>
  <c r="J53" i="2"/>
  <c r="S39" i="3"/>
  <c r="G69" i="11"/>
  <c r="C51" i="5"/>
  <c r="E51" i="5" s="1"/>
  <c r="K73" i="2"/>
  <c r="G51" i="3"/>
  <c r="C41" i="3"/>
  <c r="K87" i="2"/>
  <c r="J49" i="2"/>
  <c r="L49" i="2" s="1"/>
  <c r="I53" i="2"/>
  <c r="M27" i="2"/>
  <c r="I82" i="2"/>
  <c r="M82" i="2" s="1"/>
  <c r="C44" i="5"/>
  <c r="K69" i="2"/>
  <c r="I91" i="2"/>
  <c r="R91" i="2" s="1"/>
  <c r="R130" i="2"/>
  <c r="C39" i="5"/>
  <c r="E39" i="5" s="1"/>
  <c r="C15" i="5"/>
  <c r="D15" i="5" s="1"/>
  <c r="E15" i="5" s="1"/>
  <c r="C24" i="5"/>
  <c r="D24" i="5" s="1"/>
  <c r="K37" i="2"/>
  <c r="J73" i="2"/>
  <c r="J107" i="2"/>
  <c r="K53" i="2"/>
  <c r="J130" i="2"/>
  <c r="J27" i="2"/>
  <c r="J121" i="2"/>
  <c r="C34" i="5"/>
  <c r="E34" i="5" s="1"/>
  <c r="C128" i="5"/>
  <c r="E128" i="5" s="1"/>
  <c r="K33" i="2"/>
  <c r="J33" i="2"/>
  <c r="R73" i="2"/>
  <c r="M73" i="2"/>
  <c r="AB24" i="3"/>
  <c r="BH24" i="3" s="1"/>
  <c r="J87" i="2"/>
  <c r="J28" i="2"/>
  <c r="I107" i="2"/>
  <c r="K130" i="2"/>
  <c r="R126" i="2"/>
  <c r="G61" i="8"/>
  <c r="E76" i="5"/>
  <c r="C70" i="5"/>
  <c r="E70" i="5" s="1"/>
  <c r="C105" i="5"/>
  <c r="E105" i="5" s="1"/>
  <c r="C115" i="5"/>
  <c r="E115" i="5" s="1"/>
  <c r="C119" i="5"/>
  <c r="E119" i="5" s="1"/>
  <c r="C67" i="5"/>
  <c r="D67" i="5" s="1"/>
  <c r="M61" i="2"/>
  <c r="K24" i="2"/>
  <c r="K44" i="2"/>
  <c r="K65" i="2"/>
  <c r="K117" i="2"/>
  <c r="J69" i="2"/>
  <c r="I74" i="2"/>
  <c r="I101" i="2"/>
  <c r="BC17" i="3"/>
  <c r="R59" i="2"/>
  <c r="I87" i="2"/>
  <c r="R87" i="2" s="1"/>
  <c r="K96" i="2"/>
  <c r="K91" i="2"/>
  <c r="K34" i="2"/>
  <c r="K72" i="2"/>
  <c r="D95" i="6"/>
  <c r="C35" i="5"/>
  <c r="E35" i="5" s="1"/>
  <c r="C89" i="5"/>
  <c r="E89" i="5" s="1"/>
  <c r="C7" i="5"/>
  <c r="D7" i="5" s="1"/>
  <c r="E7" i="5" s="1"/>
  <c r="C29" i="5"/>
  <c r="D29" i="5" s="1"/>
  <c r="C99" i="5"/>
  <c r="C80" i="5"/>
  <c r="D80" i="5" s="1"/>
  <c r="E80" i="5" s="1"/>
  <c r="K40" i="2"/>
  <c r="K74" i="2"/>
  <c r="K61" i="2"/>
  <c r="K126" i="2"/>
  <c r="J74" i="2"/>
  <c r="J65" i="2"/>
  <c r="J126" i="2"/>
  <c r="I72" i="2"/>
  <c r="BB23" i="3"/>
  <c r="J96" i="2"/>
  <c r="I40" i="2"/>
  <c r="M40" i="2" s="1"/>
  <c r="J40" i="2"/>
  <c r="J20" i="2"/>
  <c r="J117" i="2"/>
  <c r="K82" i="2"/>
  <c r="C124" i="5"/>
  <c r="E124" i="5" s="1"/>
  <c r="C63" i="5"/>
  <c r="D63" i="5" s="1"/>
  <c r="E63" i="5" s="1"/>
  <c r="C59" i="5"/>
  <c r="D59" i="5" s="1"/>
  <c r="E59" i="5" s="1"/>
  <c r="J61" i="2"/>
  <c r="R33" i="2"/>
  <c r="M33" i="2"/>
  <c r="P17" i="9"/>
  <c r="P22" i="9" s="1"/>
  <c r="M79" i="2"/>
  <c r="R79" i="2"/>
  <c r="V14" i="9"/>
  <c r="R49" i="2"/>
  <c r="J89" i="2"/>
  <c r="J93" i="2"/>
  <c r="I35" i="2"/>
  <c r="M35" i="2" s="1"/>
  <c r="K51" i="2"/>
  <c r="C10" i="5"/>
  <c r="D10" i="5" s="1"/>
  <c r="E10" i="5" s="1"/>
  <c r="C28" i="5"/>
  <c r="D28" i="5" s="1"/>
  <c r="C66" i="5"/>
  <c r="C109" i="5"/>
  <c r="D109" i="5" s="1"/>
  <c r="E109" i="5" s="1"/>
  <c r="K36" i="2"/>
  <c r="K43" i="2"/>
  <c r="K64" i="2"/>
  <c r="K125" i="2"/>
  <c r="J68" i="2"/>
  <c r="J60" i="2"/>
  <c r="I60" i="2"/>
  <c r="V10" i="9"/>
  <c r="M49" i="2"/>
  <c r="AV23" i="3"/>
  <c r="I85" i="2"/>
  <c r="V11" i="9"/>
  <c r="AV21" i="12"/>
  <c r="AV34" i="12" s="1"/>
  <c r="I89" i="2"/>
  <c r="J85" i="2"/>
  <c r="K68" i="2"/>
  <c r="C23" i="3"/>
  <c r="E25" i="3"/>
  <c r="AN25" i="3" s="1"/>
  <c r="AU24" i="3"/>
  <c r="AW23" i="3"/>
  <c r="B62" i="12"/>
  <c r="G95" i="6"/>
  <c r="U47" i="9"/>
  <c r="G29" i="8"/>
  <c r="G24" i="8"/>
  <c r="K57" i="7"/>
  <c r="G49" i="8"/>
  <c r="G57" i="11"/>
  <c r="BB35" i="3"/>
  <c r="BB37" i="3" s="1"/>
  <c r="G37" i="3"/>
  <c r="BC35" i="3"/>
  <c r="AL94" i="3"/>
  <c r="D72" i="5"/>
  <c r="E72" i="5" s="1"/>
  <c r="J94" i="2"/>
  <c r="K94" i="2"/>
  <c r="I94" i="2"/>
  <c r="J90" i="2"/>
  <c r="K90" i="2"/>
  <c r="I90" i="2"/>
  <c r="J86" i="2"/>
  <c r="K86" i="2"/>
  <c r="I86" i="2"/>
  <c r="C84" i="5"/>
  <c r="D84" i="5" s="1"/>
  <c r="E84" i="5" s="1"/>
  <c r="K81" i="2"/>
  <c r="C79" i="5"/>
  <c r="E79" i="5" s="1"/>
  <c r="I81" i="2"/>
  <c r="J81" i="2"/>
  <c r="G13" i="11"/>
  <c r="G13" i="8"/>
  <c r="G32" i="11"/>
  <c r="H30" i="11"/>
  <c r="I30" i="11" s="1"/>
  <c r="J30" i="11" s="1"/>
  <c r="K30" i="11" s="1"/>
  <c r="L30" i="11" s="1"/>
  <c r="M30" i="11" s="1"/>
  <c r="N30" i="11" s="1"/>
  <c r="O30" i="11" s="1"/>
  <c r="P30" i="11" s="1"/>
  <c r="Q30" i="11" s="1"/>
  <c r="R30" i="11" s="1"/>
  <c r="S30" i="11" s="1"/>
  <c r="T30" i="11" s="1"/>
  <c r="U30" i="11" s="1"/>
  <c r="V30" i="11" s="1"/>
  <c r="W30" i="11" s="1"/>
  <c r="X30" i="11" s="1"/>
  <c r="Y30" i="11" s="1"/>
  <c r="Z30" i="11" s="1"/>
  <c r="AA30" i="11" s="1"/>
  <c r="AB30" i="11" s="1"/>
  <c r="AC30" i="11" s="1"/>
  <c r="AD30" i="11" s="1"/>
  <c r="AE30" i="11" s="1"/>
  <c r="AF30" i="11" s="1"/>
  <c r="AG30" i="11" s="1"/>
  <c r="AH30" i="11" s="1"/>
  <c r="AI30" i="11" s="1"/>
  <c r="AJ30" i="11" s="1"/>
  <c r="AK30" i="11" s="1"/>
  <c r="AL30" i="11" s="1"/>
  <c r="AM30" i="11" s="1"/>
  <c r="AN30" i="11" s="1"/>
  <c r="AO30" i="11" s="1"/>
  <c r="AP30" i="11" s="1"/>
  <c r="AQ30" i="11" s="1"/>
  <c r="AR30" i="11" s="1"/>
  <c r="AS30" i="11" s="1"/>
  <c r="AT30" i="11" s="1"/>
  <c r="G41" i="8"/>
  <c r="G40" i="11"/>
  <c r="H40" i="11" s="1"/>
  <c r="I40" i="11" s="1"/>
  <c r="J40" i="11" s="1"/>
  <c r="K40" i="11" s="1"/>
  <c r="L40" i="11" s="1"/>
  <c r="M40" i="11" s="1"/>
  <c r="N40" i="11" s="1"/>
  <c r="O40" i="11" s="1"/>
  <c r="P40" i="11" s="1"/>
  <c r="Q40" i="11" s="1"/>
  <c r="R40" i="11" s="1"/>
  <c r="S40" i="11" s="1"/>
  <c r="T40" i="11" s="1"/>
  <c r="U40" i="11" s="1"/>
  <c r="V40" i="11" s="1"/>
  <c r="W40" i="11" s="1"/>
  <c r="X40" i="11" s="1"/>
  <c r="Y40" i="11" s="1"/>
  <c r="Z40" i="11" s="1"/>
  <c r="AA40" i="11" s="1"/>
  <c r="AB40" i="11" s="1"/>
  <c r="AC40" i="11" s="1"/>
  <c r="AD40" i="11" s="1"/>
  <c r="AE40" i="11" s="1"/>
  <c r="AF40" i="11" s="1"/>
  <c r="AG40" i="11" s="1"/>
  <c r="AH40" i="11" s="1"/>
  <c r="AI40" i="11" s="1"/>
  <c r="AJ40" i="11" s="1"/>
  <c r="AK40" i="11" s="1"/>
  <c r="AL40" i="11" s="1"/>
  <c r="AM40" i="11" s="1"/>
  <c r="AN40" i="11" s="1"/>
  <c r="AO40" i="11" s="1"/>
  <c r="AP40" i="11" s="1"/>
  <c r="AQ40" i="11" s="1"/>
  <c r="AR40" i="11" s="1"/>
  <c r="AS40" i="11" s="1"/>
  <c r="AT40" i="11" s="1"/>
  <c r="C82" i="5"/>
  <c r="D82" i="5" s="1"/>
  <c r="E82" i="5" s="1"/>
  <c r="K84" i="2"/>
  <c r="I84" i="2"/>
  <c r="J84" i="2"/>
  <c r="C116" i="5"/>
  <c r="E116" i="5" s="1"/>
  <c r="I118" i="2"/>
  <c r="J118" i="2"/>
  <c r="I131" i="2"/>
  <c r="D132" i="2"/>
  <c r="J53" i="39" s="1"/>
  <c r="J131" i="2"/>
  <c r="K11" i="2"/>
  <c r="I11" i="2"/>
  <c r="J11" i="2"/>
  <c r="I7" i="2"/>
  <c r="K7" i="2"/>
  <c r="C8" i="5"/>
  <c r="E8" i="5" s="1"/>
  <c r="I15" i="2"/>
  <c r="R28" i="2"/>
  <c r="M28" i="2"/>
  <c r="K25" i="2"/>
  <c r="C26" i="5"/>
  <c r="D26" i="5" s="1"/>
  <c r="E26" i="5" s="1"/>
  <c r="I25" i="2"/>
  <c r="J25" i="2"/>
  <c r="I21" i="2"/>
  <c r="J21" i="2"/>
  <c r="K21" i="2"/>
  <c r="C22" i="5"/>
  <c r="D22" i="5" s="1"/>
  <c r="J35" i="2"/>
  <c r="C36" i="5"/>
  <c r="E36" i="5" s="1"/>
  <c r="K35" i="2"/>
  <c r="K45" i="2"/>
  <c r="C47" i="5"/>
  <c r="D47" i="5" s="1"/>
  <c r="E47" i="5" s="1"/>
  <c r="J41" i="2"/>
  <c r="I41" i="2"/>
  <c r="I51" i="2"/>
  <c r="J51" i="2"/>
  <c r="C77" i="5"/>
  <c r="E77" i="5" s="1"/>
  <c r="J79" i="2"/>
  <c r="K79" i="2"/>
  <c r="C73" i="5"/>
  <c r="D73" i="5" s="1"/>
  <c r="E73" i="5" s="1"/>
  <c r="K75" i="2"/>
  <c r="I75" i="2"/>
  <c r="I62" i="2"/>
  <c r="R62" i="2" s="1"/>
  <c r="I102" i="2"/>
  <c r="C100" i="5"/>
  <c r="E100" i="5" s="1"/>
  <c r="I98" i="2"/>
  <c r="D103" i="2"/>
  <c r="J48" i="39" s="1"/>
  <c r="J104" i="2"/>
  <c r="C102" i="5"/>
  <c r="E102" i="5" s="1"/>
  <c r="D108" i="2"/>
  <c r="C107" i="5"/>
  <c r="D107" i="5" s="1"/>
  <c r="K109" i="2"/>
  <c r="D113" i="2"/>
  <c r="I109" i="2"/>
  <c r="I122" i="2"/>
  <c r="C120" i="5"/>
  <c r="E120" i="5" s="1"/>
  <c r="J122" i="2"/>
  <c r="K122" i="2"/>
  <c r="G58" i="11"/>
  <c r="G54" i="8"/>
  <c r="AV37" i="3"/>
  <c r="B28" i="42" s="1"/>
  <c r="AE94" i="3"/>
  <c r="G36" i="11"/>
  <c r="K41" i="2"/>
  <c r="H47" i="11"/>
  <c r="I47" i="11" s="1"/>
  <c r="J47" i="11" s="1"/>
  <c r="K47" i="11" s="1"/>
  <c r="L47" i="11" s="1"/>
  <c r="M47" i="11" s="1"/>
  <c r="N47" i="11" s="1"/>
  <c r="O47" i="11" s="1"/>
  <c r="P47" i="11" s="1"/>
  <c r="Q47" i="11" s="1"/>
  <c r="R47" i="11" s="1"/>
  <c r="S47" i="11" s="1"/>
  <c r="T47" i="11" s="1"/>
  <c r="U47" i="11" s="1"/>
  <c r="V47" i="11" s="1"/>
  <c r="W47" i="11" s="1"/>
  <c r="X47" i="11" s="1"/>
  <c r="Y47" i="11" s="1"/>
  <c r="Z47" i="11" s="1"/>
  <c r="AA47" i="11" s="1"/>
  <c r="AB47" i="11" s="1"/>
  <c r="AC47" i="11" s="1"/>
  <c r="AD47" i="11" s="1"/>
  <c r="AE47" i="11" s="1"/>
  <c r="AF47" i="11" s="1"/>
  <c r="AG47" i="11" s="1"/>
  <c r="AH47" i="11" s="1"/>
  <c r="AI47" i="11" s="1"/>
  <c r="AJ47" i="11" s="1"/>
  <c r="AK47" i="11" s="1"/>
  <c r="AL47" i="11" s="1"/>
  <c r="AM47" i="11" s="1"/>
  <c r="AN47" i="11" s="1"/>
  <c r="AO47" i="11" s="1"/>
  <c r="AP47" i="11" s="1"/>
  <c r="AQ47" i="11" s="1"/>
  <c r="AR47" i="11" s="1"/>
  <c r="AS47" i="11" s="1"/>
  <c r="AT47" i="11" s="1"/>
  <c r="R37" i="2"/>
  <c r="M43" i="2"/>
  <c r="R43" i="2"/>
  <c r="R68" i="2"/>
  <c r="M68" i="2"/>
  <c r="R123" i="2"/>
  <c r="M123" i="2"/>
  <c r="C60" i="5"/>
  <c r="D60" i="5" s="1"/>
  <c r="K15" i="2"/>
  <c r="K23" i="2"/>
  <c r="K77" i="2"/>
  <c r="K102" i="2"/>
  <c r="J9" i="2"/>
  <c r="J37" i="2"/>
  <c r="J62" i="2"/>
  <c r="E110" i="5"/>
  <c r="C12" i="5"/>
  <c r="D12" i="5" s="1"/>
  <c r="E12" i="5" s="1"/>
  <c r="C96" i="5"/>
  <c r="D96" i="5" s="1"/>
  <c r="E96" i="5" s="1"/>
  <c r="C83" i="5"/>
  <c r="K62" i="2"/>
  <c r="K131" i="2"/>
  <c r="J7" i="2"/>
  <c r="J98" i="2"/>
  <c r="I104" i="2"/>
  <c r="E11" i="5"/>
  <c r="C129" i="5"/>
  <c r="E129" i="5" s="1"/>
  <c r="C16" i="5"/>
  <c r="D16" i="5" s="1"/>
  <c r="E16" i="5" s="1"/>
  <c r="K9" i="2"/>
  <c r="K27" i="2"/>
  <c r="K98" i="2"/>
  <c r="K121" i="2"/>
  <c r="J23" i="2"/>
  <c r="J43" i="2"/>
  <c r="G5" i="11"/>
  <c r="V60" i="12"/>
  <c r="V39" i="12"/>
  <c r="G105" i="3"/>
  <c r="F106" i="3"/>
  <c r="C72" i="3"/>
  <c r="J8" i="11"/>
  <c r="U39" i="3"/>
  <c r="BG39" i="3" s="1"/>
  <c r="E40" i="30"/>
  <c r="E41" i="30"/>
  <c r="K32" i="12"/>
  <c r="AZ13" i="12"/>
  <c r="AZ32" i="12"/>
  <c r="N67" i="3"/>
  <c r="N68" i="3" s="1"/>
  <c r="N69" i="3" s="1"/>
  <c r="N70" i="3" s="1"/>
  <c r="N71" i="3" s="1"/>
  <c r="N72" i="3" s="1"/>
  <c r="N73" i="3" s="1"/>
  <c r="N74" i="3" s="1"/>
  <c r="N75" i="3" s="1"/>
  <c r="N76" i="3" s="1"/>
  <c r="N77" i="3" s="1"/>
  <c r="N78" i="3" s="1"/>
  <c r="U66" i="3"/>
  <c r="U67" i="3" s="1"/>
  <c r="U68" i="3" s="1"/>
  <c r="U69" i="3" s="1"/>
  <c r="U70" i="3" s="1"/>
  <c r="U71" i="3" s="1"/>
  <c r="U72" i="3" s="1"/>
  <c r="U73" i="3" s="1"/>
  <c r="U74" i="3" s="1"/>
  <c r="U75" i="3" s="1"/>
  <c r="U76" i="3" s="1"/>
  <c r="U77" i="3" s="1"/>
  <c r="U78" i="3" s="1"/>
  <c r="BF52" i="3"/>
  <c r="N53" i="3"/>
  <c r="N54" i="3" s="1"/>
  <c r="N55" i="3" s="1"/>
  <c r="AN80" i="3"/>
  <c r="S80" i="3"/>
  <c r="Z80" i="3"/>
  <c r="AU80" i="3"/>
  <c r="E81" i="3"/>
  <c r="BF38" i="3"/>
  <c r="S52" i="3"/>
  <c r="AG52" i="3"/>
  <c r="L52" i="3"/>
  <c r="AN10" i="3"/>
  <c r="S10" i="3"/>
  <c r="E11" i="3"/>
  <c r="AU10" i="3"/>
  <c r="I93" i="6"/>
  <c r="I95" i="6" s="1"/>
  <c r="H95" i="6"/>
  <c r="AG24" i="3"/>
  <c r="I10" i="2"/>
  <c r="K10" i="2"/>
  <c r="I6" i="2"/>
  <c r="K6" i="2"/>
  <c r="I14" i="2"/>
  <c r="J14" i="2"/>
  <c r="I20" i="2"/>
  <c r="K20" i="2"/>
  <c r="I50" i="2"/>
  <c r="J50" i="2"/>
  <c r="J78" i="2"/>
  <c r="K78" i="2"/>
  <c r="M65" i="2"/>
  <c r="I112" i="2"/>
  <c r="J112" i="2"/>
  <c r="K112" i="2"/>
  <c r="AW14" i="12"/>
  <c r="AW6" i="12"/>
  <c r="AF14" i="12"/>
  <c r="AF6" i="12"/>
  <c r="M14" i="12"/>
  <c r="M6" i="12"/>
  <c r="G23" i="3"/>
  <c r="G65" i="3"/>
  <c r="BB53" i="3"/>
  <c r="G79" i="3"/>
  <c r="J129" i="2"/>
  <c r="I129" i="2"/>
  <c r="K129" i="2"/>
  <c r="M77" i="2"/>
  <c r="R77" i="2"/>
  <c r="I106" i="2"/>
  <c r="K106" i="2"/>
  <c r="K108" i="2" s="1"/>
  <c r="M111" i="2"/>
  <c r="R111" i="2"/>
  <c r="E62" i="8"/>
  <c r="E32" i="11"/>
  <c r="E70" i="11" s="1"/>
  <c r="K14" i="2"/>
  <c r="I78" i="2"/>
  <c r="K99" i="2"/>
  <c r="J99" i="2"/>
  <c r="M121" i="2"/>
  <c r="R121" i="2"/>
  <c r="X94" i="3"/>
  <c r="F62" i="8"/>
  <c r="S24" i="3"/>
  <c r="M117" i="2"/>
  <c r="M37" i="2"/>
  <c r="I45" i="2"/>
  <c r="J45" i="2"/>
  <c r="I66" i="2"/>
  <c r="J66" i="2"/>
  <c r="K66" i="2"/>
  <c r="BC30" i="3"/>
  <c r="C37" i="3"/>
  <c r="BC38" i="3"/>
  <c r="J53" i="7"/>
  <c r="Q76" i="12"/>
  <c r="I73" i="12"/>
  <c r="BC71" i="3"/>
  <c r="Z10" i="3"/>
  <c r="Z24" i="3"/>
  <c r="AN24" i="3"/>
  <c r="AG38" i="3"/>
  <c r="Z52" i="3"/>
  <c r="AN52" i="3"/>
  <c r="Q55" i="7"/>
  <c r="C55" i="3"/>
  <c r="BB54" i="3"/>
  <c r="AU5" i="12"/>
  <c r="AR5" i="12"/>
  <c r="AL5" i="12"/>
  <c r="AJ5" i="12"/>
  <c r="AD5" i="12"/>
  <c r="AB5" i="12"/>
  <c r="U5" i="12"/>
  <c r="P5" i="12"/>
  <c r="J5" i="12"/>
  <c r="E5" i="12"/>
  <c r="L15" i="30"/>
  <c r="C10" i="12"/>
  <c r="D10" i="12" s="1"/>
  <c r="E10" i="12" s="1"/>
  <c r="F10" i="12" s="1"/>
  <c r="G10" i="12" s="1"/>
  <c r="H10" i="12" s="1"/>
  <c r="I10" i="12" s="1"/>
  <c r="J10" i="12" s="1"/>
  <c r="K10" i="12" s="1"/>
  <c r="L10" i="12" s="1"/>
  <c r="M10" i="12" s="1"/>
  <c r="N10" i="12" s="1"/>
  <c r="O10" i="12" s="1"/>
  <c r="P10" i="12" s="1"/>
  <c r="Q10" i="12" s="1"/>
  <c r="R10" i="12" s="1"/>
  <c r="S10" i="12" s="1"/>
  <c r="T10" i="12" s="1"/>
  <c r="U10" i="12" s="1"/>
  <c r="V10" i="12" s="1"/>
  <c r="W10" i="12" s="1"/>
  <c r="X10" i="12" s="1"/>
  <c r="Y10" i="12" s="1"/>
  <c r="Z10" i="12" s="1"/>
  <c r="AA10" i="12" s="1"/>
  <c r="AB10" i="12" s="1"/>
  <c r="AC10" i="12" s="1"/>
  <c r="AD10" i="12" s="1"/>
  <c r="AE10" i="12" s="1"/>
  <c r="AF10" i="12" s="1"/>
  <c r="AG10" i="12" s="1"/>
  <c r="AH10" i="12" s="1"/>
  <c r="AI10" i="12" s="1"/>
  <c r="AJ10" i="12" s="1"/>
  <c r="AK10" i="12" s="1"/>
  <c r="AL10" i="12" s="1"/>
  <c r="AM10" i="12" s="1"/>
  <c r="AN10" i="12" s="1"/>
  <c r="AO10" i="12" s="1"/>
  <c r="AP10" i="12" s="1"/>
  <c r="AQ10" i="12" s="1"/>
  <c r="AR10" i="12" s="1"/>
  <c r="AS10" i="12" s="1"/>
  <c r="AT10" i="12" s="1"/>
  <c r="AU10" i="12" s="1"/>
  <c r="AV10" i="12" s="1"/>
  <c r="AW10" i="12" s="1"/>
  <c r="AX10" i="12" s="1"/>
  <c r="AY10" i="12" s="1"/>
  <c r="AZ10" i="12" s="1"/>
  <c r="U2" i="9"/>
  <c r="AH12" i="3"/>
  <c r="AH13" i="3" s="1"/>
  <c r="AH14" i="3" s="1"/>
  <c r="AH15" i="3" s="1"/>
  <c r="AH16" i="3" s="1"/>
  <c r="AH17" i="3" s="1"/>
  <c r="AH18" i="3" s="1"/>
  <c r="AH19" i="3" s="1"/>
  <c r="AH20" i="3" s="1"/>
  <c r="AH21" i="3" s="1"/>
  <c r="AH22" i="3" s="1"/>
  <c r="AB38" i="3"/>
  <c r="BH38" i="3" s="1"/>
  <c r="U52" i="3"/>
  <c r="BG52" i="3" s="1"/>
  <c r="U10" i="3"/>
  <c r="U11" i="3" s="1"/>
  <c r="BF66" i="3"/>
  <c r="T85" i="3"/>
  <c r="T26" i="3"/>
  <c r="BG25" i="3"/>
  <c r="T68" i="3"/>
  <c r="T13" i="3"/>
  <c r="T14" i="3" s="1"/>
  <c r="T15" i="3" s="1"/>
  <c r="T16" i="3" s="1"/>
  <c r="T17" i="3" s="1"/>
  <c r="T18" i="3" s="1"/>
  <c r="T19" i="3" s="1"/>
  <c r="T20" i="3" s="1"/>
  <c r="T21" i="3" s="1"/>
  <c r="T22" i="3" s="1"/>
  <c r="M68" i="3"/>
  <c r="M69" i="3" s="1"/>
  <c r="M26" i="3"/>
  <c r="M27" i="3" s="1"/>
  <c r="M28" i="3" s="1"/>
  <c r="M29" i="3" s="1"/>
  <c r="M30" i="3" s="1"/>
  <c r="M31" i="3" s="1"/>
  <c r="M32" i="3" s="1"/>
  <c r="M33" i="3" s="1"/>
  <c r="M34" i="3" s="1"/>
  <c r="M35" i="3" s="1"/>
  <c r="M36" i="3" s="1"/>
  <c r="AH56" i="3"/>
  <c r="M82" i="3"/>
  <c r="AO82" i="3"/>
  <c r="AH26" i="3"/>
  <c r="AH40" i="3"/>
  <c r="AH82" i="3"/>
  <c r="AA12" i="3"/>
  <c r="AH69" i="3"/>
  <c r="AO68" i="3"/>
  <c r="M12" i="3"/>
  <c r="BF11" i="3"/>
  <c r="M40" i="3"/>
  <c r="BF39" i="3"/>
  <c r="T41" i="3"/>
  <c r="F16" i="7"/>
  <c r="U3" i="9"/>
  <c r="C11" i="12"/>
  <c r="D11" i="12" s="1"/>
  <c r="E11" i="12" s="1"/>
  <c r="F11" i="12" s="1"/>
  <c r="G11" i="12" s="1"/>
  <c r="H11" i="12" s="1"/>
  <c r="I11" i="12" s="1"/>
  <c r="J11" i="12" s="1"/>
  <c r="K11" i="12" s="1"/>
  <c r="L11" i="12" s="1"/>
  <c r="M11" i="12" s="1"/>
  <c r="N11" i="12" s="1"/>
  <c r="O11" i="12" s="1"/>
  <c r="P11" i="12" s="1"/>
  <c r="Q11" i="12" s="1"/>
  <c r="R11" i="12" s="1"/>
  <c r="S11" i="12" s="1"/>
  <c r="T11" i="12" s="1"/>
  <c r="U11" i="12" s="1"/>
  <c r="V11" i="12" s="1"/>
  <c r="W11" i="12" s="1"/>
  <c r="X11" i="12" s="1"/>
  <c r="Y11" i="12" s="1"/>
  <c r="Z11" i="12" s="1"/>
  <c r="AA11" i="12" s="1"/>
  <c r="AB11" i="12" s="1"/>
  <c r="AC11" i="12" s="1"/>
  <c r="AD11" i="12" s="1"/>
  <c r="AE11" i="12" s="1"/>
  <c r="AF11" i="12" s="1"/>
  <c r="AG11" i="12" s="1"/>
  <c r="AH11" i="12" s="1"/>
  <c r="AI11" i="12" s="1"/>
  <c r="AJ11" i="12" s="1"/>
  <c r="AK11" i="12" s="1"/>
  <c r="AL11" i="12" s="1"/>
  <c r="AM11" i="12" s="1"/>
  <c r="AN11" i="12" s="1"/>
  <c r="AO11" i="12" s="1"/>
  <c r="AP11" i="12" s="1"/>
  <c r="AQ11" i="12" s="1"/>
  <c r="AR11" i="12" s="1"/>
  <c r="AS11" i="12" s="1"/>
  <c r="AT11" i="12" s="1"/>
  <c r="AU11" i="12" s="1"/>
  <c r="AV11" i="12" s="1"/>
  <c r="AW11" i="12" s="1"/>
  <c r="AX11" i="12" s="1"/>
  <c r="AY11" i="12" s="1"/>
  <c r="AZ11" i="12" s="1"/>
  <c r="L13" i="30"/>
  <c r="F18" i="7"/>
  <c r="F3" i="7"/>
  <c r="F4" i="7"/>
  <c r="I4" i="7" s="1"/>
  <c r="F6" i="7"/>
  <c r="I6" i="7" s="1"/>
  <c r="F8" i="7"/>
  <c r="I8" i="7" s="1"/>
  <c r="F11" i="7"/>
  <c r="F12" i="7"/>
  <c r="I12" i="7" s="1"/>
  <c r="F14" i="7"/>
  <c r="R29" i="1"/>
  <c r="F20" i="7"/>
  <c r="F17" i="7"/>
  <c r="F9" i="7"/>
  <c r="F19" i="7"/>
  <c r="F13" i="7"/>
  <c r="I13" i="7" s="1"/>
  <c r="F15" i="7"/>
  <c r="I15" i="7" s="1"/>
  <c r="F5" i="7"/>
  <c r="F7" i="7"/>
  <c r="I7" i="7" s="1"/>
  <c r="F10" i="7"/>
  <c r="I10" i="7" s="1"/>
  <c r="P10" i="7" s="1"/>
  <c r="B26" i="41" l="1"/>
  <c r="B29" i="42"/>
  <c r="H17" i="41"/>
  <c r="J17" i="42"/>
  <c r="B24" i="41"/>
  <c r="B27" i="42"/>
  <c r="AV94" i="3"/>
  <c r="L32" i="39" s="1"/>
  <c r="B25" i="41"/>
  <c r="F40" i="39"/>
  <c r="G40" i="39" s="1"/>
  <c r="J49" i="39"/>
  <c r="D47" i="2"/>
  <c r="F31" i="39"/>
  <c r="G31" i="39" s="1"/>
  <c r="U82" i="3"/>
  <c r="BG82" i="3" s="1"/>
  <c r="F19" i="12"/>
  <c r="L53" i="2"/>
  <c r="Q53" i="2" s="1"/>
  <c r="L52" i="2"/>
  <c r="Q52" i="2" s="1"/>
  <c r="M51" i="2"/>
  <c r="L51" i="2"/>
  <c r="Q51" i="2" s="1"/>
  <c r="D57" i="2"/>
  <c r="D58" i="2" s="1"/>
  <c r="L50" i="2"/>
  <c r="BF25" i="3"/>
  <c r="L48" i="2"/>
  <c r="R22" i="1"/>
  <c r="D19" i="12"/>
  <c r="AZ19" i="12"/>
  <c r="L19" i="12"/>
  <c r="AE19" i="12"/>
  <c r="D14" i="7"/>
  <c r="C27" i="30" s="1"/>
  <c r="O14" i="12"/>
  <c r="S16" i="12"/>
  <c r="V19" i="12"/>
  <c r="AH6" i="12"/>
  <c r="AH32" i="12" s="1"/>
  <c r="AH40" i="12" s="1"/>
  <c r="AV17" i="12"/>
  <c r="AV19" i="12" s="1"/>
  <c r="Q16" i="12"/>
  <c r="Q21" i="12" s="1"/>
  <c r="Q34" i="12" s="1"/>
  <c r="AC14" i="12"/>
  <c r="T14" i="12"/>
  <c r="AC16" i="12"/>
  <c r="I16" i="12"/>
  <c r="I21" i="12" s="1"/>
  <c r="I34" i="12" s="1"/>
  <c r="AO6" i="12"/>
  <c r="N29" i="2"/>
  <c r="I14" i="12"/>
  <c r="AX19" i="12"/>
  <c r="I6" i="12"/>
  <c r="T6" i="12"/>
  <c r="AC6" i="12"/>
  <c r="AC13" i="12" s="1"/>
  <c r="T17" i="12"/>
  <c r="T19" i="12" s="1"/>
  <c r="AM16" i="12"/>
  <c r="AM6" i="12"/>
  <c r="AM14" i="12"/>
  <c r="Y16" i="12"/>
  <c r="Y6" i="12"/>
  <c r="Y14" i="12"/>
  <c r="AT13" i="12"/>
  <c r="AT32" i="12"/>
  <c r="AG17" i="12"/>
  <c r="AG19" i="12" s="1"/>
  <c r="M16" i="12"/>
  <c r="M17" i="12"/>
  <c r="AO17" i="12"/>
  <c r="AO16" i="12"/>
  <c r="N14" i="12"/>
  <c r="G16" i="12"/>
  <c r="G17" i="12"/>
  <c r="F6" i="12"/>
  <c r="F32" i="12" s="1"/>
  <c r="AG6" i="12"/>
  <c r="AG13" i="12" s="1"/>
  <c r="S14" i="12"/>
  <c r="G6" i="12"/>
  <c r="G13" i="12" s="1"/>
  <c r="AI17" i="12"/>
  <c r="AI16" i="12"/>
  <c r="AS17" i="12"/>
  <c r="AS19" i="12" s="1"/>
  <c r="AS14" i="12"/>
  <c r="N17" i="12"/>
  <c r="N19" i="12" s="1"/>
  <c r="AG32" i="12"/>
  <c r="AG44" i="12" s="1"/>
  <c r="AK19" i="12"/>
  <c r="AN53" i="3"/>
  <c r="E54" i="3"/>
  <c r="AU67" i="3"/>
  <c r="AH39" i="12"/>
  <c r="AH60" i="12"/>
  <c r="X17" i="12"/>
  <c r="X19" i="12" s="1"/>
  <c r="S53" i="3"/>
  <c r="AU53" i="3"/>
  <c r="O19" i="12"/>
  <c r="U40" i="3"/>
  <c r="U41" i="3" s="1"/>
  <c r="U42" i="3" s="1"/>
  <c r="U43" i="3" s="1"/>
  <c r="U44" i="3" s="1"/>
  <c r="U45" i="3" s="1"/>
  <c r="U46" i="3" s="1"/>
  <c r="U47" i="3" s="1"/>
  <c r="U48" i="3" s="1"/>
  <c r="U49" i="3" s="1"/>
  <c r="U50" i="3" s="1"/>
  <c r="N85" i="2"/>
  <c r="D60" i="12"/>
  <c r="AK21" i="12"/>
  <c r="AK34" i="12" s="1"/>
  <c r="D44" i="12"/>
  <c r="X6" i="12"/>
  <c r="X32" i="12" s="1"/>
  <c r="AH44" i="12"/>
  <c r="D39" i="12"/>
  <c r="F70" i="11"/>
  <c r="E42" i="30" s="1"/>
  <c r="E44" i="30" s="1"/>
  <c r="AW16" i="12"/>
  <c r="AW17" i="12"/>
  <c r="AX65" i="3"/>
  <c r="L111" i="2"/>
  <c r="Q111" i="2" s="1"/>
  <c r="D30" i="2"/>
  <c r="J43" i="39" s="1"/>
  <c r="R83" i="2"/>
  <c r="D49" i="1"/>
  <c r="S128" i="2"/>
  <c r="T128" i="2" s="1"/>
  <c r="J56" i="2"/>
  <c r="I56" i="2"/>
  <c r="K56" i="2"/>
  <c r="J54" i="2"/>
  <c r="I54" i="2"/>
  <c r="K54" i="2"/>
  <c r="J55" i="2"/>
  <c r="K55" i="2"/>
  <c r="I55" i="2"/>
  <c r="K13" i="2"/>
  <c r="N13" i="2" s="1"/>
  <c r="J18" i="2"/>
  <c r="AE32" i="12"/>
  <c r="R6" i="12"/>
  <c r="R16" i="12"/>
  <c r="R14" i="12"/>
  <c r="O13" i="12"/>
  <c r="O32" i="12"/>
  <c r="I111" i="7"/>
  <c r="A112" i="7" s="1"/>
  <c r="AY6" i="12"/>
  <c r="AY17" i="12"/>
  <c r="AY19" i="12" s="1"/>
  <c r="AF17" i="12"/>
  <c r="AF16" i="12"/>
  <c r="AX32" i="12"/>
  <c r="AX13" i="12"/>
  <c r="AQ19" i="12"/>
  <c r="AH14" i="12"/>
  <c r="AH16" i="12"/>
  <c r="T32" i="12"/>
  <c r="T13" i="12"/>
  <c r="H16" i="12"/>
  <c r="H17" i="12"/>
  <c r="H14" i="12"/>
  <c r="H6" i="12"/>
  <c r="AI13" i="12"/>
  <c r="AI32" i="12"/>
  <c r="S32" i="12"/>
  <c r="S13" i="12"/>
  <c r="BF54" i="3"/>
  <c r="AU25" i="3"/>
  <c r="V40" i="12"/>
  <c r="S27" i="9"/>
  <c r="U27" i="9" s="1"/>
  <c r="Z16" i="12"/>
  <c r="Z14" i="12"/>
  <c r="Z6" i="12"/>
  <c r="Z17" i="12"/>
  <c r="AN6" i="12"/>
  <c r="AN17" i="12"/>
  <c r="AO32" i="12"/>
  <c r="AO13" i="12"/>
  <c r="F121" i="3"/>
  <c r="G120" i="3"/>
  <c r="AN16" i="12"/>
  <c r="I14" i="7"/>
  <c r="AP6" i="12"/>
  <c r="AP16" i="12"/>
  <c r="AP14" i="12"/>
  <c r="AP17" i="12"/>
  <c r="D72" i="11"/>
  <c r="C42" i="30"/>
  <c r="C44" i="30" s="1"/>
  <c r="BF53" i="3"/>
  <c r="BF81" i="3"/>
  <c r="W19" i="12"/>
  <c r="K19" i="12"/>
  <c r="AG68" i="3"/>
  <c r="AV32" i="12"/>
  <c r="AV13" i="12"/>
  <c r="AS13" i="12"/>
  <c r="AS32" i="12"/>
  <c r="F13" i="12"/>
  <c r="Z53" i="3"/>
  <c r="AG53" i="3"/>
  <c r="AA44" i="12"/>
  <c r="AA60" i="12"/>
  <c r="AA40" i="12"/>
  <c r="AA39" i="12"/>
  <c r="AA19" i="12"/>
  <c r="N13" i="12"/>
  <c r="N32" i="12"/>
  <c r="X13" i="12"/>
  <c r="AQ32" i="12"/>
  <c r="AQ13" i="12"/>
  <c r="W13" i="12"/>
  <c r="W32" i="12"/>
  <c r="E43" i="5"/>
  <c r="AU68" i="3"/>
  <c r="L13" i="12"/>
  <c r="L32" i="12"/>
  <c r="I13" i="12"/>
  <c r="I32" i="12"/>
  <c r="P67" i="7"/>
  <c r="P70" i="7" s="1"/>
  <c r="K25" i="30" s="1"/>
  <c r="Q67" i="7"/>
  <c r="H57" i="11"/>
  <c r="I57" i="11"/>
  <c r="H69" i="11"/>
  <c r="I69" i="11"/>
  <c r="Z4" i="30"/>
  <c r="Z9" i="30"/>
  <c r="C9" i="30"/>
  <c r="Z8" i="30"/>
  <c r="Z7" i="30"/>
  <c r="Z5" i="30"/>
  <c r="Z3" i="30"/>
  <c r="C8" i="9"/>
  <c r="AX37" i="3"/>
  <c r="R42" i="2"/>
  <c r="Q25" i="9"/>
  <c r="R64" i="2"/>
  <c r="T17" i="9"/>
  <c r="P26" i="9" s="1"/>
  <c r="Q26" i="9" s="1"/>
  <c r="R92" i="2"/>
  <c r="L42" i="2"/>
  <c r="Q42" i="2" s="1"/>
  <c r="S92" i="2"/>
  <c r="T92" i="2" s="1"/>
  <c r="R128" i="2"/>
  <c r="E23" i="5"/>
  <c r="L3" i="2"/>
  <c r="P3" i="2" s="1"/>
  <c r="AW94" i="3"/>
  <c r="G3" i="11" s="1"/>
  <c r="G7" i="11" s="1"/>
  <c r="L83" i="2"/>
  <c r="Q83" i="2" s="1"/>
  <c r="N69" i="2"/>
  <c r="E57" i="5"/>
  <c r="M69" i="2"/>
  <c r="R63" i="2"/>
  <c r="N123" i="2"/>
  <c r="R29" i="2"/>
  <c r="N115" i="2"/>
  <c r="L22" i="2"/>
  <c r="Q22" i="2" s="1"/>
  <c r="E67" i="5"/>
  <c r="J113" i="2"/>
  <c r="L115" i="2"/>
  <c r="Q115" i="2" s="1"/>
  <c r="L105" i="2"/>
  <c r="Q105" i="2" s="1"/>
  <c r="N92" i="2"/>
  <c r="L110" i="2"/>
  <c r="Q110" i="2" s="1"/>
  <c r="L70" i="2"/>
  <c r="Q70" i="2" s="1"/>
  <c r="J38" i="2"/>
  <c r="J39" i="2" s="1"/>
  <c r="N3" i="2"/>
  <c r="L32" i="2"/>
  <c r="Q32" i="2" s="1"/>
  <c r="S32" i="2"/>
  <c r="T32" i="2" s="1"/>
  <c r="S3" i="2"/>
  <c r="T3" i="2" s="1"/>
  <c r="S36" i="2"/>
  <c r="T36" i="2" s="1"/>
  <c r="N32" i="2"/>
  <c r="L63" i="2"/>
  <c r="Q63" i="2" s="1"/>
  <c r="N59" i="2"/>
  <c r="L59" i="2"/>
  <c r="Q59" i="2" s="1"/>
  <c r="R76" i="2"/>
  <c r="M8" i="11"/>
  <c r="M4" i="11"/>
  <c r="L8" i="2"/>
  <c r="P8" i="2" s="1"/>
  <c r="L93" i="2"/>
  <c r="Q93" i="2" s="1"/>
  <c r="N130" i="2"/>
  <c r="L116" i="2"/>
  <c r="Q116" i="2" s="1"/>
  <c r="S67" i="2"/>
  <c r="M105" i="2"/>
  <c r="E29" i="5"/>
  <c r="R93" i="2"/>
  <c r="S105" i="2"/>
  <c r="N105" i="2"/>
  <c r="N100" i="2"/>
  <c r="R116" i="2"/>
  <c r="R96" i="2"/>
  <c r="N33" i="2"/>
  <c r="M67" i="2"/>
  <c r="R22" i="2"/>
  <c r="S130" i="2"/>
  <c r="T130" i="2" s="1"/>
  <c r="N72" i="2"/>
  <c r="N49" i="2"/>
  <c r="E27" i="5"/>
  <c r="N67" i="2"/>
  <c r="S4" i="2"/>
  <c r="T4" i="2" s="1"/>
  <c r="N76" i="2"/>
  <c r="N110" i="2"/>
  <c r="M99" i="2"/>
  <c r="E69" i="3"/>
  <c r="S68" i="3"/>
  <c r="L68" i="3"/>
  <c r="BF68" i="3"/>
  <c r="E68" i="5"/>
  <c r="N22" i="2"/>
  <c r="N73" i="2"/>
  <c r="AN68" i="3"/>
  <c r="C18" i="12"/>
  <c r="B18" i="12" s="1"/>
  <c r="R32" i="2"/>
  <c r="L125" i="2"/>
  <c r="Q125" i="2" s="1"/>
  <c r="N52" i="2"/>
  <c r="L76" i="2"/>
  <c r="Q76" i="2" s="1"/>
  <c r="N26" i="2"/>
  <c r="N63" i="2"/>
  <c r="S52" i="2"/>
  <c r="T52" i="2" s="1"/>
  <c r="S123" i="2"/>
  <c r="T123" i="2" s="1"/>
  <c r="L29" i="2"/>
  <c r="Q29" i="2" s="1"/>
  <c r="N128" i="2"/>
  <c r="N111" i="2"/>
  <c r="N8" i="2"/>
  <c r="BF67" i="3"/>
  <c r="I32" i="11"/>
  <c r="C38" i="5"/>
  <c r="E38" i="5" s="1"/>
  <c r="E40" i="5" s="1"/>
  <c r="L64" i="2"/>
  <c r="Q64" i="2" s="1"/>
  <c r="L92" i="2"/>
  <c r="Q92" i="2" s="1"/>
  <c r="L44" i="2"/>
  <c r="Q44" i="2" s="1"/>
  <c r="V15" i="9"/>
  <c r="L128" i="2"/>
  <c r="Q128" i="2" s="1"/>
  <c r="L130" i="2"/>
  <c r="Q130" i="2" s="1"/>
  <c r="L26" i="2"/>
  <c r="Q26" i="2" s="1"/>
  <c r="R26" i="2"/>
  <c r="L67" i="2"/>
  <c r="Q67" i="2" s="1"/>
  <c r="N4" i="2"/>
  <c r="N42" i="2"/>
  <c r="Q49" i="2"/>
  <c r="R71" i="2"/>
  <c r="L121" i="2"/>
  <c r="Q121" i="2" s="1"/>
  <c r="L123" i="2"/>
  <c r="Q123" i="2" s="1"/>
  <c r="J11" i="39"/>
  <c r="L11" i="39" s="1"/>
  <c r="S34" i="2"/>
  <c r="Y97" i="3"/>
  <c r="Y98" i="3" s="1"/>
  <c r="M48" i="2"/>
  <c r="R48" i="2"/>
  <c r="L88" i="2"/>
  <c r="Q88" i="2" s="1"/>
  <c r="N116" i="2"/>
  <c r="L71" i="2"/>
  <c r="Q71" i="2" s="1"/>
  <c r="N48" i="2"/>
  <c r="L100" i="2"/>
  <c r="Q100" i="2" s="1"/>
  <c r="N71" i="2"/>
  <c r="M34" i="2"/>
  <c r="E95" i="6"/>
  <c r="F95" i="6" s="1"/>
  <c r="R100" i="2"/>
  <c r="M100" i="2"/>
  <c r="L4" i="2"/>
  <c r="P4" i="2" s="1"/>
  <c r="S88" i="2"/>
  <c r="BG40" i="3"/>
  <c r="N88" i="2"/>
  <c r="N83" i="2"/>
  <c r="R82" i="2"/>
  <c r="M91" i="2"/>
  <c r="S73" i="2"/>
  <c r="T73" i="2" s="1"/>
  <c r="BF26" i="3"/>
  <c r="S107" i="2"/>
  <c r="L73" i="2"/>
  <c r="Q73" i="2" s="1"/>
  <c r="D111" i="5"/>
  <c r="M88" i="2"/>
  <c r="E130" i="5"/>
  <c r="N107" i="2"/>
  <c r="BC23" i="3"/>
  <c r="N24" i="2"/>
  <c r="E28" i="5"/>
  <c r="S70" i="2"/>
  <c r="T70" i="2" s="1"/>
  <c r="L69" i="2"/>
  <c r="Q69" i="2" s="1"/>
  <c r="AW95" i="3"/>
  <c r="U30" i="9" s="1"/>
  <c r="S30" i="9" s="1"/>
  <c r="N82" i="2"/>
  <c r="S91" i="2"/>
  <c r="R70" i="2"/>
  <c r="M13" i="2"/>
  <c r="R13" i="2"/>
  <c r="E60" i="5"/>
  <c r="N91" i="2"/>
  <c r="N70" i="2"/>
  <c r="J108" i="2"/>
  <c r="D39" i="2"/>
  <c r="E25" i="9" s="1"/>
  <c r="I25" i="9" s="1"/>
  <c r="L33" i="2"/>
  <c r="Q33" i="2" s="1"/>
  <c r="N53" i="2"/>
  <c r="AI80" i="3"/>
  <c r="BH80" i="3"/>
  <c r="AB81" i="3"/>
  <c r="R17" i="9"/>
  <c r="P24" i="9" s="1"/>
  <c r="Q24" i="9" s="1"/>
  <c r="N84" i="2"/>
  <c r="R35" i="2"/>
  <c r="L68" i="2"/>
  <c r="Q68" i="2" s="1"/>
  <c r="N117" i="2"/>
  <c r="S126" i="2"/>
  <c r="T126" i="2" s="1"/>
  <c r="N96" i="2"/>
  <c r="L91" i="2"/>
  <c r="Q91" i="2" s="1"/>
  <c r="BC37" i="3"/>
  <c r="E24" i="5"/>
  <c r="C42" i="3"/>
  <c r="BC41" i="3"/>
  <c r="BB41" i="3"/>
  <c r="AU40" i="3"/>
  <c r="AG40" i="3"/>
  <c r="E41" i="3"/>
  <c r="AN40" i="3"/>
  <c r="L40" i="3"/>
  <c r="Z40" i="3"/>
  <c r="S40" i="3"/>
  <c r="BB85" i="3"/>
  <c r="BC85" i="3"/>
  <c r="C86" i="3"/>
  <c r="N101" i="2"/>
  <c r="L34" i="2"/>
  <c r="Q34" i="2" s="1"/>
  <c r="N64" i="2"/>
  <c r="N15" i="2"/>
  <c r="M62" i="2"/>
  <c r="I38" i="2"/>
  <c r="E106" i="5"/>
  <c r="S72" i="2"/>
  <c r="S33" i="2"/>
  <c r="T33" i="2" s="1"/>
  <c r="R101" i="2"/>
  <c r="N28" i="2"/>
  <c r="N126" i="2"/>
  <c r="N34" i="2"/>
  <c r="N65" i="2"/>
  <c r="R53" i="2"/>
  <c r="M53" i="2"/>
  <c r="S53" i="2"/>
  <c r="D44" i="5"/>
  <c r="E44" i="5" s="1"/>
  <c r="S49" i="2"/>
  <c r="T49" i="2" s="1"/>
  <c r="L28" i="2"/>
  <c r="Q28" i="2" s="1"/>
  <c r="L117" i="2"/>
  <c r="Q117" i="2" s="1"/>
  <c r="L122" i="2"/>
  <c r="Q122" i="2" s="1"/>
  <c r="K39" i="2"/>
  <c r="N40" i="2"/>
  <c r="N44" i="2"/>
  <c r="L96" i="2"/>
  <c r="Q96" i="2" s="1"/>
  <c r="L72" i="2"/>
  <c r="Q72" i="2" s="1"/>
  <c r="M74" i="2"/>
  <c r="R74" i="2"/>
  <c r="L74" i="2"/>
  <c r="Q74" i="2" s="1"/>
  <c r="L65" i="2"/>
  <c r="Q65" i="2" s="1"/>
  <c r="R40" i="2"/>
  <c r="N122" i="2"/>
  <c r="N87" i="2"/>
  <c r="N74" i="2"/>
  <c r="L24" i="2"/>
  <c r="Q24" i="2" s="1"/>
  <c r="AB25" i="3"/>
  <c r="AI24" i="3"/>
  <c r="D99" i="5"/>
  <c r="E99" i="5" s="1"/>
  <c r="E101" i="5" s="1"/>
  <c r="N112" i="2"/>
  <c r="N50" i="2"/>
  <c r="N10" i="2"/>
  <c r="L40" i="2"/>
  <c r="Q40" i="2" s="1"/>
  <c r="C46" i="5"/>
  <c r="D46" i="5" s="1"/>
  <c r="N86" i="2"/>
  <c r="L87" i="2"/>
  <c r="Q87" i="2" s="1"/>
  <c r="S125" i="2"/>
  <c r="T125" i="2" s="1"/>
  <c r="L61" i="2"/>
  <c r="Q61" i="2" s="1"/>
  <c r="R107" i="2"/>
  <c r="M107" i="2"/>
  <c r="L107" i="2"/>
  <c r="Q107" i="2" s="1"/>
  <c r="L82" i="2"/>
  <c r="Q82" i="2" s="1"/>
  <c r="N99" i="2"/>
  <c r="C19" i="5"/>
  <c r="D19" i="5" s="1"/>
  <c r="N11" i="2"/>
  <c r="M87" i="2"/>
  <c r="M72" i="2"/>
  <c r="R72" i="2"/>
  <c r="L126" i="2"/>
  <c r="Q126" i="2" s="1"/>
  <c r="M101" i="2"/>
  <c r="L101" i="2"/>
  <c r="Q101" i="2" s="1"/>
  <c r="N61" i="2"/>
  <c r="S96" i="2"/>
  <c r="T96" i="2" s="1"/>
  <c r="J80" i="2"/>
  <c r="N27" i="2"/>
  <c r="L84" i="2"/>
  <c r="Q84" i="2" s="1"/>
  <c r="K18" i="2"/>
  <c r="N68" i="2"/>
  <c r="N43" i="2"/>
  <c r="R122" i="2"/>
  <c r="S89" i="2"/>
  <c r="L89" i="2"/>
  <c r="Q89" i="2" s="1"/>
  <c r="N89" i="2"/>
  <c r="R89" i="2"/>
  <c r="M89" i="2"/>
  <c r="R85" i="2"/>
  <c r="M85" i="2"/>
  <c r="L85" i="2"/>
  <c r="Q85" i="2" s="1"/>
  <c r="R60" i="2"/>
  <c r="M60" i="2"/>
  <c r="L60" i="2"/>
  <c r="Q60" i="2" s="1"/>
  <c r="N60" i="2"/>
  <c r="D66" i="5"/>
  <c r="E66" i="5" s="1"/>
  <c r="AT97" i="3"/>
  <c r="AT98" i="3" s="1"/>
  <c r="K46" i="2"/>
  <c r="K47" i="2" s="1"/>
  <c r="D19" i="2"/>
  <c r="L94" i="2"/>
  <c r="Q94" i="2" s="1"/>
  <c r="J132" i="2"/>
  <c r="I18" i="2"/>
  <c r="M18" i="2" s="1"/>
  <c r="S122" i="2"/>
  <c r="N125" i="2"/>
  <c r="L36" i="2"/>
  <c r="Q36" i="2" s="1"/>
  <c r="N36" i="2"/>
  <c r="S93" i="2"/>
  <c r="T93" i="2" s="1"/>
  <c r="N93" i="2"/>
  <c r="E26" i="3"/>
  <c r="L25" i="3"/>
  <c r="AG25" i="3"/>
  <c r="S25" i="3"/>
  <c r="Z25" i="3"/>
  <c r="H32" i="11"/>
  <c r="AX23" i="3"/>
  <c r="S22" i="9"/>
  <c r="Q22" i="9" s="1"/>
  <c r="G49" i="11"/>
  <c r="I49" i="11"/>
  <c r="G37" i="11"/>
  <c r="H36" i="11"/>
  <c r="R102" i="2"/>
  <c r="M102" i="2"/>
  <c r="R75" i="2"/>
  <c r="N75" i="2"/>
  <c r="L75" i="2"/>
  <c r="Q75" i="2" s="1"/>
  <c r="M75" i="2"/>
  <c r="N79" i="2"/>
  <c r="L35" i="2"/>
  <c r="N35" i="2"/>
  <c r="R86" i="2"/>
  <c r="L86" i="2"/>
  <c r="Q86" i="2" s="1"/>
  <c r="K103" i="2"/>
  <c r="S11" i="2"/>
  <c r="T11" i="2" s="1"/>
  <c r="M86" i="2"/>
  <c r="H58" i="11"/>
  <c r="G62" i="11"/>
  <c r="C101" i="5"/>
  <c r="E30" i="9"/>
  <c r="I30" i="9" s="1"/>
  <c r="C78" i="5"/>
  <c r="E28" i="9"/>
  <c r="I28" i="9" s="1"/>
  <c r="I46" i="2"/>
  <c r="J46" i="2"/>
  <c r="J47" i="2" s="1"/>
  <c r="E22" i="5"/>
  <c r="D32" i="5"/>
  <c r="M118" i="2"/>
  <c r="R118" i="2"/>
  <c r="L118" i="2"/>
  <c r="Q118" i="2" s="1"/>
  <c r="N118" i="2"/>
  <c r="S118" i="2"/>
  <c r="R41" i="2"/>
  <c r="S41" i="2"/>
  <c r="M41" i="2"/>
  <c r="N41" i="2"/>
  <c r="L41" i="2"/>
  <c r="Q41" i="2" s="1"/>
  <c r="R21" i="2"/>
  <c r="L21" i="2"/>
  <c r="Q21" i="2" s="1"/>
  <c r="M21" i="2"/>
  <c r="N37" i="2"/>
  <c r="K113" i="2"/>
  <c r="N6" i="2"/>
  <c r="S35" i="2"/>
  <c r="T35" i="2" s="1"/>
  <c r="M122" i="2"/>
  <c r="L11" i="2"/>
  <c r="P11" i="2" s="1"/>
  <c r="N94" i="2"/>
  <c r="M109" i="2"/>
  <c r="R109" i="2"/>
  <c r="N109" i="2"/>
  <c r="L109" i="2"/>
  <c r="Q109" i="2" s="1"/>
  <c r="E31" i="9"/>
  <c r="I31" i="9" s="1"/>
  <c r="C106" i="5"/>
  <c r="M98" i="2"/>
  <c r="R98" i="2"/>
  <c r="I103" i="2"/>
  <c r="N21" i="2"/>
  <c r="R25" i="2"/>
  <c r="M25" i="2"/>
  <c r="L25" i="2"/>
  <c r="Q25" i="2" s="1"/>
  <c r="N25" i="2"/>
  <c r="R15" i="2"/>
  <c r="M15" i="2"/>
  <c r="C130" i="5"/>
  <c r="E33" i="9"/>
  <c r="I33" i="9" s="1"/>
  <c r="R84" i="2"/>
  <c r="S84" i="2"/>
  <c r="M84" i="2"/>
  <c r="H13" i="11"/>
  <c r="G21" i="11"/>
  <c r="M94" i="2"/>
  <c r="S94" i="2"/>
  <c r="R94" i="2"/>
  <c r="J16" i="2"/>
  <c r="C17" i="5"/>
  <c r="D17" i="5" s="1"/>
  <c r="E17" i="5" s="1"/>
  <c r="I16" i="2"/>
  <c r="K16" i="2"/>
  <c r="L81" i="2"/>
  <c r="Q81" i="2" s="1"/>
  <c r="R81" i="2"/>
  <c r="N81" i="2"/>
  <c r="M81" i="2"/>
  <c r="K80" i="2"/>
  <c r="N121" i="2"/>
  <c r="S81" i="2"/>
  <c r="L37" i="2"/>
  <c r="Q37" i="2" s="1"/>
  <c r="V13" i="9"/>
  <c r="Q17" i="9"/>
  <c r="C111" i="5"/>
  <c r="E32" i="9"/>
  <c r="I32" i="9" s="1"/>
  <c r="L79" i="2"/>
  <c r="Q79" i="2" s="1"/>
  <c r="R51" i="2"/>
  <c r="S51" i="2"/>
  <c r="N51" i="2"/>
  <c r="I17" i="2"/>
  <c r="J17" i="2"/>
  <c r="K17" i="2"/>
  <c r="C18" i="5"/>
  <c r="D18" i="5" s="1"/>
  <c r="E18" i="5" s="1"/>
  <c r="R131" i="2"/>
  <c r="M131" i="2"/>
  <c r="L90" i="2"/>
  <c r="Q90" i="2" s="1"/>
  <c r="M90" i="2"/>
  <c r="R90" i="2"/>
  <c r="S90" i="2"/>
  <c r="N90" i="2"/>
  <c r="N131" i="2"/>
  <c r="L131" i="2"/>
  <c r="Q131" i="2" s="1"/>
  <c r="L102" i="2"/>
  <c r="Q102" i="2" s="1"/>
  <c r="N102" i="2"/>
  <c r="S131" i="2"/>
  <c r="H49" i="11"/>
  <c r="R104" i="2"/>
  <c r="M104" i="2"/>
  <c r="L104" i="2"/>
  <c r="Q104" i="2" s="1"/>
  <c r="N104" i="2"/>
  <c r="S104" i="2"/>
  <c r="N77" i="2"/>
  <c r="L77" i="2"/>
  <c r="Q77" i="2" s="1"/>
  <c r="K67" i="11"/>
  <c r="J69" i="11"/>
  <c r="N62" i="2"/>
  <c r="L62" i="2"/>
  <c r="Q62" i="2" s="1"/>
  <c r="L23" i="2"/>
  <c r="Q23" i="2" s="1"/>
  <c r="N23" i="2"/>
  <c r="L43" i="2"/>
  <c r="Q43" i="2" s="1"/>
  <c r="L98" i="2"/>
  <c r="Q98" i="2" s="1"/>
  <c r="N98" i="2"/>
  <c r="D83" i="5"/>
  <c r="E83" i="5" s="1"/>
  <c r="S37" i="2"/>
  <c r="T37" i="2" s="1"/>
  <c r="S121" i="2"/>
  <c r="T121" i="2" s="1"/>
  <c r="K132" i="2"/>
  <c r="L7" i="2"/>
  <c r="P7" i="2" s="1"/>
  <c r="N7" i="2"/>
  <c r="L27" i="2"/>
  <c r="Q27" i="2" s="1"/>
  <c r="L9" i="2"/>
  <c r="P9" i="2" s="1"/>
  <c r="S9" i="2"/>
  <c r="T9" i="2" s="1"/>
  <c r="N9" i="2"/>
  <c r="L15" i="2"/>
  <c r="Q15" i="2" s="1"/>
  <c r="E107" i="5"/>
  <c r="E111" i="5" s="1"/>
  <c r="E72" i="11"/>
  <c r="D42" i="30"/>
  <c r="D44" i="30" s="1"/>
  <c r="U12" i="3"/>
  <c r="U13" i="3" s="1"/>
  <c r="U14" i="3" s="1"/>
  <c r="BG14" i="3" s="1"/>
  <c r="BG11" i="3"/>
  <c r="K53" i="7"/>
  <c r="U46" i="9"/>
  <c r="N14" i="2"/>
  <c r="AF32" i="12"/>
  <c r="AF13" i="12"/>
  <c r="R50" i="2"/>
  <c r="S50" i="2"/>
  <c r="M50" i="2"/>
  <c r="L14" i="2"/>
  <c r="R14" i="2"/>
  <c r="S14" i="2"/>
  <c r="M14" i="2"/>
  <c r="L10" i="2"/>
  <c r="P10" i="2" s="1"/>
  <c r="S10" i="2"/>
  <c r="T10" i="2" s="1"/>
  <c r="H5" i="11"/>
  <c r="H9" i="11"/>
  <c r="R106" i="2"/>
  <c r="S106" i="2"/>
  <c r="M106" i="2"/>
  <c r="N106" i="2"/>
  <c r="I108" i="2"/>
  <c r="L106" i="2"/>
  <c r="M129" i="2"/>
  <c r="R129" i="2"/>
  <c r="N129" i="2"/>
  <c r="L129" i="2"/>
  <c r="I132" i="2"/>
  <c r="S129" i="2"/>
  <c r="G94" i="3"/>
  <c r="C48" i="5"/>
  <c r="E26" i="9"/>
  <c r="I26" i="9" s="1"/>
  <c r="AB66" i="3"/>
  <c r="BG66" i="3"/>
  <c r="E55" i="3"/>
  <c r="S54" i="3"/>
  <c r="AU54" i="3"/>
  <c r="AN54" i="3"/>
  <c r="L54" i="3"/>
  <c r="AG54" i="3"/>
  <c r="Z54" i="3"/>
  <c r="AZ60" i="12"/>
  <c r="AZ39" i="12"/>
  <c r="AZ44" i="12"/>
  <c r="AZ40" i="12"/>
  <c r="K44" i="12"/>
  <c r="K60" i="12"/>
  <c r="K39" i="12"/>
  <c r="K40" i="12"/>
  <c r="F107" i="3"/>
  <c r="G106" i="3"/>
  <c r="L66" i="2"/>
  <c r="Q66" i="2" s="1"/>
  <c r="M66" i="2"/>
  <c r="N66" i="2"/>
  <c r="I80" i="2"/>
  <c r="R66" i="2"/>
  <c r="N45" i="2"/>
  <c r="S45" i="2"/>
  <c r="R45" i="2"/>
  <c r="L45" i="2"/>
  <c r="M45" i="2"/>
  <c r="M32" i="12"/>
  <c r="M13" i="12"/>
  <c r="AW32" i="12"/>
  <c r="AW13" i="12"/>
  <c r="R20" i="2"/>
  <c r="N20" i="2"/>
  <c r="M20" i="2"/>
  <c r="L20" i="2"/>
  <c r="S20" i="2" s="1"/>
  <c r="L6" i="2"/>
  <c r="P6" i="2" s="1"/>
  <c r="S11" i="3"/>
  <c r="AU11" i="3"/>
  <c r="Z11" i="3"/>
  <c r="AN11" i="3"/>
  <c r="AG11" i="3"/>
  <c r="E12" i="3"/>
  <c r="L11" i="3"/>
  <c r="I96" i="6"/>
  <c r="I97" i="6" s="1"/>
  <c r="F8" i="6" s="1"/>
  <c r="U83" i="3"/>
  <c r="BG83" i="3" s="1"/>
  <c r="L99" i="2"/>
  <c r="S99" i="2" s="1"/>
  <c r="J103" i="2"/>
  <c r="M78" i="2"/>
  <c r="R78" i="2"/>
  <c r="L78" i="2"/>
  <c r="Q78" i="2" s="1"/>
  <c r="N78" i="2"/>
  <c r="S112" i="2"/>
  <c r="R112" i="2"/>
  <c r="M112" i="2"/>
  <c r="L112" i="2"/>
  <c r="I113" i="2"/>
  <c r="AN81" i="3"/>
  <c r="AG81" i="3"/>
  <c r="Z81" i="3"/>
  <c r="AU81" i="3"/>
  <c r="L81" i="3"/>
  <c r="E82" i="3"/>
  <c r="S81" i="3"/>
  <c r="C73" i="3"/>
  <c r="BC72" i="3"/>
  <c r="BB72" i="3"/>
  <c r="U53" i="3"/>
  <c r="U54" i="3" s="1"/>
  <c r="AB52" i="3"/>
  <c r="AI52" i="3" s="1"/>
  <c r="E14" i="12"/>
  <c r="E6" i="12"/>
  <c r="E17" i="12"/>
  <c r="E16" i="12"/>
  <c r="P14" i="12"/>
  <c r="P6" i="12"/>
  <c r="P17" i="12"/>
  <c r="P16" i="12"/>
  <c r="AB14" i="12"/>
  <c r="AB6" i="12"/>
  <c r="AB17" i="12"/>
  <c r="AB16" i="12"/>
  <c r="AJ14" i="12"/>
  <c r="AJ6" i="12"/>
  <c r="AJ17" i="12"/>
  <c r="AJ16" i="12"/>
  <c r="AR14" i="12"/>
  <c r="AR6" i="12"/>
  <c r="AR17" i="12"/>
  <c r="AR16" i="12"/>
  <c r="K42" i="11"/>
  <c r="J49" i="11"/>
  <c r="J32" i="11"/>
  <c r="K28" i="11"/>
  <c r="K59" i="11"/>
  <c r="U12" i="11"/>
  <c r="U38" i="11"/>
  <c r="J14" i="12"/>
  <c r="J6" i="12"/>
  <c r="J16" i="12"/>
  <c r="J17" i="12"/>
  <c r="U14" i="12"/>
  <c r="U6" i="12"/>
  <c r="U16" i="12"/>
  <c r="U17" i="12"/>
  <c r="AD14" i="12"/>
  <c r="AD6" i="12"/>
  <c r="AD16" i="12"/>
  <c r="AD17" i="12"/>
  <c r="AL14" i="12"/>
  <c r="AL6" i="12"/>
  <c r="AL16" i="12"/>
  <c r="AL17" i="12"/>
  <c r="AU14" i="12"/>
  <c r="AU6" i="12"/>
  <c r="AU17" i="12"/>
  <c r="AU16" i="12"/>
  <c r="BB55" i="3"/>
  <c r="C56" i="3"/>
  <c r="BC55" i="3"/>
  <c r="K33" i="11"/>
  <c r="H27" i="30"/>
  <c r="J49" i="9"/>
  <c r="K54" i="11"/>
  <c r="J57" i="11"/>
  <c r="J73" i="12"/>
  <c r="R76" i="12"/>
  <c r="V27" i="11"/>
  <c r="V50" i="11"/>
  <c r="BG10" i="3"/>
  <c r="AB10" i="3"/>
  <c r="AI38" i="3"/>
  <c r="AB39" i="3"/>
  <c r="U32" i="3"/>
  <c r="U33" i="3" s="1"/>
  <c r="BG68" i="3"/>
  <c r="T69" i="3"/>
  <c r="T27" i="3"/>
  <c r="BG26" i="3"/>
  <c r="T86" i="3"/>
  <c r="T87" i="3" s="1"/>
  <c r="BG67" i="3"/>
  <c r="AO69" i="3"/>
  <c r="AH70" i="3"/>
  <c r="AA13" i="3"/>
  <c r="AH83" i="3"/>
  <c r="AH41" i="3"/>
  <c r="AH27" i="3"/>
  <c r="M83" i="3"/>
  <c r="BF82" i="3"/>
  <c r="AH57" i="3"/>
  <c r="N56" i="3"/>
  <c r="BF55" i="3"/>
  <c r="AO83" i="3"/>
  <c r="M70" i="3"/>
  <c r="BF69" i="3"/>
  <c r="BF40" i="3"/>
  <c r="M41" i="3"/>
  <c r="N28" i="3"/>
  <c r="BF27" i="3"/>
  <c r="M13" i="3"/>
  <c r="BF12" i="3"/>
  <c r="T42" i="3"/>
  <c r="BG41" i="3"/>
  <c r="I5" i="7"/>
  <c r="N46" i="9" s="1"/>
  <c r="G3" i="7"/>
  <c r="U4" i="9"/>
  <c r="L14" i="30"/>
  <c r="B4" i="10"/>
  <c r="V9" i="39" l="1"/>
  <c r="J42" i="39"/>
  <c r="S75" i="2"/>
  <c r="T75" i="2" s="1"/>
  <c r="S83" i="2"/>
  <c r="T83" i="2" s="1"/>
  <c r="S111" i="2"/>
  <c r="T111" i="2" s="1"/>
  <c r="S78" i="2"/>
  <c r="T78" i="2" s="1"/>
  <c r="S102" i="2"/>
  <c r="T102" i="2" s="1"/>
  <c r="S69" i="2"/>
  <c r="T69" i="2" s="1"/>
  <c r="S86" i="2"/>
  <c r="T86" i="2" s="1"/>
  <c r="S64" i="2"/>
  <c r="T64" i="2" s="1"/>
  <c r="S21" i="2"/>
  <c r="T21" i="2" s="1"/>
  <c r="S60" i="2"/>
  <c r="T60" i="2" s="1"/>
  <c r="S63" i="2"/>
  <c r="T63" i="2" s="1"/>
  <c r="S117" i="2"/>
  <c r="T117" i="2" s="1"/>
  <c r="S115" i="2"/>
  <c r="T115" i="2" s="1"/>
  <c r="S110" i="2"/>
  <c r="T110" i="2" s="1"/>
  <c r="S109" i="2"/>
  <c r="T109" i="2" s="1"/>
  <c r="S101" i="2"/>
  <c r="T101" i="2" s="1"/>
  <c r="S87" i="2"/>
  <c r="T87" i="2" s="1"/>
  <c r="S79" i="2"/>
  <c r="T79" i="2" s="1"/>
  <c r="S77" i="2"/>
  <c r="T77" i="2" s="1"/>
  <c r="S76" i="2"/>
  <c r="T76" i="2" s="1"/>
  <c r="S74" i="2"/>
  <c r="T74" i="2" s="1"/>
  <c r="S71" i="2"/>
  <c r="T71" i="2" s="1"/>
  <c r="S65" i="2"/>
  <c r="T65" i="2" s="1"/>
  <c r="S62" i="2"/>
  <c r="T62" i="2" s="1"/>
  <c r="S61" i="2"/>
  <c r="T61" i="2" s="1"/>
  <c r="K57" i="2"/>
  <c r="S44" i="2"/>
  <c r="T44" i="2" s="1"/>
  <c r="S43" i="2"/>
  <c r="T43" i="2" s="1"/>
  <c r="S40" i="2"/>
  <c r="T40" i="2" s="1"/>
  <c r="S27" i="2"/>
  <c r="T27" i="2" s="1"/>
  <c r="S24" i="2"/>
  <c r="T24" i="2" s="1"/>
  <c r="S22" i="2"/>
  <c r="T22" i="2" s="1"/>
  <c r="S7" i="2"/>
  <c r="T7" i="2" s="1"/>
  <c r="I30" i="2"/>
  <c r="M30" i="2" s="1"/>
  <c r="M31" i="2" s="1"/>
  <c r="F32" i="39"/>
  <c r="G32" i="39" s="1"/>
  <c r="G33" i="39" s="1"/>
  <c r="Q48" i="2"/>
  <c r="T51" i="2"/>
  <c r="K58" i="2"/>
  <c r="L54" i="2"/>
  <c r="Q54" i="2" s="1"/>
  <c r="R80" i="2"/>
  <c r="Q80" i="2"/>
  <c r="L56" i="2"/>
  <c r="Q56" i="2" s="1"/>
  <c r="L55" i="2"/>
  <c r="Q55" i="2" s="1"/>
  <c r="I47" i="2"/>
  <c r="R47" i="2" s="1"/>
  <c r="L46" i="2"/>
  <c r="Q46" i="2" s="1"/>
  <c r="I19" i="12"/>
  <c r="S21" i="12"/>
  <c r="S34" i="12" s="1"/>
  <c r="S19" i="12"/>
  <c r="AH13" i="12"/>
  <c r="AC32" i="12"/>
  <c r="Q19" i="12"/>
  <c r="AC21" i="12"/>
  <c r="AC34" i="12" s="1"/>
  <c r="AC19" i="12"/>
  <c r="E43" i="30"/>
  <c r="AG40" i="12"/>
  <c r="G32" i="12"/>
  <c r="G40" i="12" s="1"/>
  <c r="G21" i="12"/>
  <c r="G34" i="12" s="1"/>
  <c r="G19" i="12"/>
  <c r="AT40" i="12"/>
  <c r="AT39" i="12"/>
  <c r="AT44" i="12"/>
  <c r="AT60" i="12"/>
  <c r="AI21" i="12"/>
  <c r="AI34" i="12" s="1"/>
  <c r="AI19" i="12"/>
  <c r="AO21" i="12"/>
  <c r="AO34" i="12" s="1"/>
  <c r="AO19" i="12"/>
  <c r="Y13" i="12"/>
  <c r="Y32" i="12"/>
  <c r="Y21" i="12"/>
  <c r="Y34" i="12" s="1"/>
  <c r="Y19" i="12"/>
  <c r="M21" i="12"/>
  <c r="M34" i="12" s="1"/>
  <c r="M19" i="12"/>
  <c r="AM32" i="12"/>
  <c r="AM13" i="12"/>
  <c r="AM21" i="12"/>
  <c r="AM34" i="12" s="1"/>
  <c r="AM19" i="12"/>
  <c r="AG39" i="12"/>
  <c r="AG60" i="12"/>
  <c r="J57" i="2"/>
  <c r="J58" i="2" s="1"/>
  <c r="C50" i="5"/>
  <c r="E50" i="5" s="1"/>
  <c r="E56" i="5" s="1"/>
  <c r="I57" i="2"/>
  <c r="M57" i="2" s="1"/>
  <c r="F72" i="11"/>
  <c r="D31" i="2"/>
  <c r="C32" i="5" s="1"/>
  <c r="J30" i="2"/>
  <c r="J31" i="2" s="1"/>
  <c r="AW21" i="12"/>
  <c r="AW34" i="12" s="1"/>
  <c r="AW19" i="12"/>
  <c r="K30" i="2"/>
  <c r="K111" i="7"/>
  <c r="AC39" i="12"/>
  <c r="AC44" i="12"/>
  <c r="C30" i="5"/>
  <c r="E30" i="5" s="1"/>
  <c r="E32" i="5" s="1"/>
  <c r="C56" i="5"/>
  <c r="L13" i="2"/>
  <c r="Q13" i="2" s="1"/>
  <c r="D48" i="1"/>
  <c r="D50" i="1"/>
  <c r="S66" i="2"/>
  <c r="T66" i="2" s="1"/>
  <c r="S23" i="2"/>
  <c r="T23" i="2" s="1"/>
  <c r="S26" i="2"/>
  <c r="T26" i="2" s="1"/>
  <c r="S29" i="2"/>
  <c r="T29" i="2" s="1"/>
  <c r="S48" i="2"/>
  <c r="T48" i="2" s="1"/>
  <c r="S116" i="2"/>
  <c r="T116" i="2" s="1"/>
  <c r="S100" i="2"/>
  <c r="T100" i="2" s="1"/>
  <c r="S85" i="2"/>
  <c r="T85" i="2" s="1"/>
  <c r="S82" i="2"/>
  <c r="T82" i="2" s="1"/>
  <c r="S68" i="2"/>
  <c r="T68" i="2" s="1"/>
  <c r="S59" i="2"/>
  <c r="T59" i="2" s="1"/>
  <c r="S42" i="2"/>
  <c r="T42" i="2" s="1"/>
  <c r="S28" i="2"/>
  <c r="T28" i="2" s="1"/>
  <c r="S25" i="2"/>
  <c r="T25" i="2" s="1"/>
  <c r="S15" i="2"/>
  <c r="T15" i="2" s="1"/>
  <c r="D45" i="1"/>
  <c r="F11" i="37" s="1"/>
  <c r="D47" i="1"/>
  <c r="H11" i="37" s="1"/>
  <c r="D46" i="1"/>
  <c r="G11" i="37" s="1"/>
  <c r="S8" i="2"/>
  <c r="T8" i="2" s="1"/>
  <c r="S6" i="2"/>
  <c r="T6" i="2" s="1"/>
  <c r="M55" i="2"/>
  <c r="R55" i="2"/>
  <c r="M54" i="2"/>
  <c r="R54" i="2"/>
  <c r="M56" i="2"/>
  <c r="R56" i="2"/>
  <c r="N55" i="2"/>
  <c r="N54" i="2"/>
  <c r="N56" i="2"/>
  <c r="AE44" i="12"/>
  <c r="AE39" i="12"/>
  <c r="AE40" i="12"/>
  <c r="AE60" i="12"/>
  <c r="AW98" i="3"/>
  <c r="T60" i="12"/>
  <c r="T39" i="12"/>
  <c r="T44" i="12"/>
  <c r="T40" i="12"/>
  <c r="AH21" i="12"/>
  <c r="AH34" i="12" s="1"/>
  <c r="AH19" i="12"/>
  <c r="AX39" i="12"/>
  <c r="AX44" i="12"/>
  <c r="AX60" i="12"/>
  <c r="AX40" i="12"/>
  <c r="AY13" i="12"/>
  <c r="AY32" i="12"/>
  <c r="AF21" i="12"/>
  <c r="AF34" i="12" s="1"/>
  <c r="AF19" i="12"/>
  <c r="R21" i="12"/>
  <c r="R34" i="12" s="1"/>
  <c r="R19" i="12"/>
  <c r="E23" i="9"/>
  <c r="I23" i="9" s="1"/>
  <c r="O60" i="12"/>
  <c r="O39" i="12"/>
  <c r="O40" i="12"/>
  <c r="O44" i="12"/>
  <c r="R32" i="12"/>
  <c r="R13" i="12"/>
  <c r="AP21" i="12"/>
  <c r="AP34" i="12" s="1"/>
  <c r="AP19" i="12"/>
  <c r="H19" i="12"/>
  <c r="H21" i="12"/>
  <c r="H34" i="12" s="1"/>
  <c r="AN13" i="12"/>
  <c r="AN32" i="12"/>
  <c r="AN21" i="12"/>
  <c r="AN34" i="12" s="1"/>
  <c r="AN19" i="12"/>
  <c r="S39" i="12"/>
  <c r="S40" i="12"/>
  <c r="S44" i="12"/>
  <c r="S60" i="12"/>
  <c r="AP32" i="12"/>
  <c r="AP13" i="12"/>
  <c r="F122" i="3"/>
  <c r="G121" i="3"/>
  <c r="Z21" i="12"/>
  <c r="Z34" i="12" s="1"/>
  <c r="Z19" i="12"/>
  <c r="H32" i="12"/>
  <c r="H13" i="12"/>
  <c r="AO60" i="12"/>
  <c r="AO44" i="12"/>
  <c r="AO40" i="12"/>
  <c r="AO39" i="12"/>
  <c r="Z13" i="12"/>
  <c r="Z32" i="12"/>
  <c r="AI39" i="12"/>
  <c r="AI44" i="12"/>
  <c r="AI40" i="12"/>
  <c r="AI60" i="12"/>
  <c r="S98" i="2"/>
  <c r="T98" i="2" s="1"/>
  <c r="U15" i="3"/>
  <c r="U16" i="3" s="1"/>
  <c r="F39" i="12"/>
  <c r="F60" i="12"/>
  <c r="F44" i="12"/>
  <c r="F40" i="12"/>
  <c r="X40" i="12"/>
  <c r="X44" i="12"/>
  <c r="X60" i="12"/>
  <c r="X39" i="12"/>
  <c r="AS60" i="12"/>
  <c r="AS44" i="12"/>
  <c r="AS39" i="12"/>
  <c r="AS40" i="12"/>
  <c r="I40" i="12"/>
  <c r="I44" i="12"/>
  <c r="I39" i="12"/>
  <c r="I60" i="12"/>
  <c r="W60" i="12"/>
  <c r="W44" i="12"/>
  <c r="W39" i="12"/>
  <c r="W40" i="12"/>
  <c r="AV40" i="12"/>
  <c r="AV39" i="12"/>
  <c r="AV60" i="12"/>
  <c r="AV44" i="12"/>
  <c r="L60" i="12"/>
  <c r="L40" i="12"/>
  <c r="L39" i="12"/>
  <c r="L44" i="12"/>
  <c r="N44" i="12"/>
  <c r="N39" i="12"/>
  <c r="N40" i="12"/>
  <c r="N60" i="12"/>
  <c r="AQ44" i="12"/>
  <c r="AQ39" i="12"/>
  <c r="AQ40" i="12"/>
  <c r="AQ60" i="12"/>
  <c r="G6" i="11"/>
  <c r="F38" i="30" s="1"/>
  <c r="T118" i="2"/>
  <c r="D130" i="3"/>
  <c r="H3" i="11"/>
  <c r="H7" i="11" s="1"/>
  <c r="AX94" i="3"/>
  <c r="D43" i="30"/>
  <c r="M14" i="7"/>
  <c r="N14" i="7" s="1"/>
  <c r="E4" i="10"/>
  <c r="C4" i="10"/>
  <c r="C43" i="30"/>
  <c r="F6" i="6"/>
  <c r="F7" i="6" s="1"/>
  <c r="G7" i="6" s="1"/>
  <c r="T105" i="2"/>
  <c r="L38" i="2"/>
  <c r="L39" i="2" s="1"/>
  <c r="T99" i="2"/>
  <c r="I39" i="2"/>
  <c r="R39" i="2" s="1"/>
  <c r="T107" i="2"/>
  <c r="T91" i="2"/>
  <c r="T81" i="2"/>
  <c r="S13" i="2"/>
  <c r="T13" i="2" s="1"/>
  <c r="N4" i="11"/>
  <c r="N8" i="11"/>
  <c r="C40" i="5"/>
  <c r="T67" i="2"/>
  <c r="U84" i="3"/>
  <c r="BG84" i="3" s="1"/>
  <c r="F103" i="6"/>
  <c r="F106" i="6" s="1"/>
  <c r="F107" i="6" s="1"/>
  <c r="S69" i="3"/>
  <c r="AU69" i="3"/>
  <c r="E70" i="3"/>
  <c r="AG69" i="3"/>
  <c r="L69" i="3"/>
  <c r="AN69" i="3"/>
  <c r="Z69" i="3"/>
  <c r="E78" i="5"/>
  <c r="T88" i="2"/>
  <c r="R103" i="2"/>
  <c r="T34" i="2"/>
  <c r="AB53" i="3"/>
  <c r="BH53" i="3" s="1"/>
  <c r="N18" i="2"/>
  <c r="T72" i="2"/>
  <c r="T106" i="2"/>
  <c r="N113" i="2"/>
  <c r="T122" i="2"/>
  <c r="AW97" i="3"/>
  <c r="D48" i="5"/>
  <c r="BH52" i="3"/>
  <c r="N103" i="2"/>
  <c r="BH81" i="3"/>
  <c r="AB82" i="3"/>
  <c r="BG53" i="3"/>
  <c r="T129" i="2"/>
  <c r="E42" i="3"/>
  <c r="L41" i="3"/>
  <c r="AG41" i="3"/>
  <c r="AN41" i="3"/>
  <c r="Z41" i="3"/>
  <c r="AU41" i="3"/>
  <c r="S41" i="3"/>
  <c r="BB86" i="3"/>
  <c r="BC86" i="3"/>
  <c r="C87" i="3"/>
  <c r="BB42" i="3"/>
  <c r="C43" i="3"/>
  <c r="BC42" i="3"/>
  <c r="AI81" i="3"/>
  <c r="AP80" i="3"/>
  <c r="BI80" i="3"/>
  <c r="BG12" i="3"/>
  <c r="BG13" i="3"/>
  <c r="E46" i="5"/>
  <c r="E48" i="5" s="1"/>
  <c r="T104" i="2"/>
  <c r="M38" i="2"/>
  <c r="M39" i="2" s="1"/>
  <c r="R38" i="2"/>
  <c r="T53" i="2"/>
  <c r="N38" i="2"/>
  <c r="N39" i="2" s="1"/>
  <c r="S38" i="2"/>
  <c r="L18" i="2"/>
  <c r="Q18" i="2" s="1"/>
  <c r="M113" i="2"/>
  <c r="C20" i="5"/>
  <c r="D101" i="5"/>
  <c r="T131" i="2"/>
  <c r="AP24" i="3"/>
  <c r="AI25" i="3"/>
  <c r="BI24" i="3"/>
  <c r="R18" i="2"/>
  <c r="J19" i="2"/>
  <c r="AB26" i="3"/>
  <c r="BH25" i="3"/>
  <c r="M132" i="2"/>
  <c r="N80" i="2"/>
  <c r="D20" i="5"/>
  <c r="K19" i="2"/>
  <c r="T84" i="2"/>
  <c r="M103" i="2"/>
  <c r="D78" i="5"/>
  <c r="Q35" i="2"/>
  <c r="T89" i="2"/>
  <c r="S26" i="3"/>
  <c r="L26" i="3"/>
  <c r="AG26" i="3"/>
  <c r="Z26" i="3"/>
  <c r="AU26" i="3"/>
  <c r="AN26" i="3"/>
  <c r="E27" i="3"/>
  <c r="U22" i="9"/>
  <c r="U28" i="9" s="1"/>
  <c r="U31" i="9" s="1"/>
  <c r="S28" i="9"/>
  <c r="S31" i="9" s="1"/>
  <c r="M46" i="2"/>
  <c r="M47" i="2" s="1"/>
  <c r="R46" i="2"/>
  <c r="I36" i="11"/>
  <c r="H37" i="11"/>
  <c r="R16" i="2"/>
  <c r="M16" i="2"/>
  <c r="L16" i="2"/>
  <c r="Q16" i="2" s="1"/>
  <c r="T94" i="2"/>
  <c r="R17" i="2"/>
  <c r="L17" i="2"/>
  <c r="Q17" i="2" s="1"/>
  <c r="N17" i="2"/>
  <c r="M17" i="2"/>
  <c r="R132" i="2"/>
  <c r="N46" i="2"/>
  <c r="N47" i="2" s="1"/>
  <c r="I19" i="2"/>
  <c r="I58" i="11"/>
  <c r="H62" i="11"/>
  <c r="S46" i="2"/>
  <c r="P23" i="9"/>
  <c r="V17" i="9"/>
  <c r="I13" i="11"/>
  <c r="H21" i="11"/>
  <c r="R113" i="2"/>
  <c r="T90" i="2"/>
  <c r="N16" i="2"/>
  <c r="T41" i="2"/>
  <c r="M80" i="2"/>
  <c r="N132" i="2"/>
  <c r="R108" i="2"/>
  <c r="E19" i="5"/>
  <c r="E20" i="5" s="1"/>
  <c r="T14" i="2"/>
  <c r="T20" i="2"/>
  <c r="N108" i="2"/>
  <c r="L67" i="11"/>
  <c r="K69" i="11"/>
  <c r="M108" i="2"/>
  <c r="T50" i="2"/>
  <c r="Q112" i="2"/>
  <c r="Q113" i="2" s="1"/>
  <c r="L113" i="2"/>
  <c r="Z12" i="3"/>
  <c r="AN12" i="3"/>
  <c r="AG12" i="3"/>
  <c r="S12" i="3"/>
  <c r="E13" i="3"/>
  <c r="L12" i="3"/>
  <c r="AU12" i="3"/>
  <c r="AW40" i="12"/>
  <c r="AW60" i="12"/>
  <c r="AW39" i="12"/>
  <c r="AW44" i="12"/>
  <c r="AF40" i="12"/>
  <c r="AF60" i="12"/>
  <c r="AF39" i="12"/>
  <c r="AF44" i="12"/>
  <c r="AG82" i="3"/>
  <c r="AN82" i="3"/>
  <c r="S82" i="3"/>
  <c r="Z82" i="3"/>
  <c r="E83" i="3"/>
  <c r="AU82" i="3"/>
  <c r="L82" i="3"/>
  <c r="L80" i="2"/>
  <c r="Q45" i="2"/>
  <c r="F108" i="3"/>
  <c r="G107" i="3"/>
  <c r="Z55" i="3"/>
  <c r="AG55" i="3"/>
  <c r="S55" i="3"/>
  <c r="E56" i="3"/>
  <c r="L55" i="3"/>
  <c r="AU55" i="3"/>
  <c r="AN55" i="3"/>
  <c r="F11" i="9"/>
  <c r="A80" i="12"/>
  <c r="C17" i="12" s="1"/>
  <c r="B17" i="12" s="1"/>
  <c r="Q129" i="2"/>
  <c r="Q132" i="2" s="1"/>
  <c r="L132" i="2"/>
  <c r="Q106" i="2"/>
  <c r="Q108" i="2" s="1"/>
  <c r="L108" i="2"/>
  <c r="I9" i="11"/>
  <c r="I5" i="11"/>
  <c r="Q14" i="2"/>
  <c r="BB73" i="3"/>
  <c r="C74" i="3"/>
  <c r="BC73" i="3"/>
  <c r="Q99" i="2"/>
  <c r="Q103" i="2" s="1"/>
  <c r="L103" i="2"/>
  <c r="M40" i="12"/>
  <c r="M39" i="12"/>
  <c r="M60" i="12"/>
  <c r="M44" i="12"/>
  <c r="T112" i="2"/>
  <c r="Q20" i="2"/>
  <c r="T45" i="2"/>
  <c r="BH66" i="3"/>
  <c r="AB67" i="3"/>
  <c r="AI66" i="3"/>
  <c r="Q50" i="2"/>
  <c r="W50" i="11"/>
  <c r="W27" i="11"/>
  <c r="K73" i="12"/>
  <c r="BC56" i="3"/>
  <c r="C57" i="3"/>
  <c r="BB56" i="3"/>
  <c r="AU21" i="12"/>
  <c r="AU34" i="12" s="1"/>
  <c r="AU19" i="12"/>
  <c r="AU32" i="12"/>
  <c r="AU13" i="12"/>
  <c r="AL32" i="12"/>
  <c r="AL13" i="12"/>
  <c r="AD32" i="12"/>
  <c r="AD13" i="12"/>
  <c r="U32" i="12"/>
  <c r="U13" i="12"/>
  <c r="J32" i="12"/>
  <c r="J13" i="12"/>
  <c r="V12" i="11"/>
  <c r="L59" i="11"/>
  <c r="L28" i="11"/>
  <c r="K32" i="11"/>
  <c r="B14" i="12"/>
  <c r="S76" i="12"/>
  <c r="L54" i="11"/>
  <c r="K57" i="11"/>
  <c r="L33" i="11"/>
  <c r="AL21" i="12"/>
  <c r="AL34" i="12" s="1"/>
  <c r="AL19" i="12"/>
  <c r="AD21" i="12"/>
  <c r="AD34" i="12" s="1"/>
  <c r="AD19" i="12"/>
  <c r="U21" i="12"/>
  <c r="U34" i="12" s="1"/>
  <c r="U19" i="12"/>
  <c r="J21" i="12"/>
  <c r="J34" i="12" s="1"/>
  <c r="J19" i="12"/>
  <c r="V38" i="11"/>
  <c r="L42" i="11"/>
  <c r="K49" i="11"/>
  <c r="AR21" i="12"/>
  <c r="AR34" i="12" s="1"/>
  <c r="AR19" i="12"/>
  <c r="AR32" i="12"/>
  <c r="AR13" i="12"/>
  <c r="AJ21" i="12"/>
  <c r="AJ34" i="12" s="1"/>
  <c r="AJ19" i="12"/>
  <c r="AJ32" i="12"/>
  <c r="AJ13" i="12"/>
  <c r="AB21" i="12"/>
  <c r="AB34" i="12" s="1"/>
  <c r="AB19" i="12"/>
  <c r="AB32" i="12"/>
  <c r="AB13" i="12"/>
  <c r="P21" i="12"/>
  <c r="P34" i="12" s="1"/>
  <c r="P19" i="12"/>
  <c r="P32" i="12"/>
  <c r="P13" i="12"/>
  <c r="C16" i="12"/>
  <c r="E21" i="12"/>
  <c r="E34" i="12" s="1"/>
  <c r="E19" i="12"/>
  <c r="E32" i="12"/>
  <c r="E13" i="12"/>
  <c r="AB40" i="3"/>
  <c r="BH39" i="3"/>
  <c r="AI10" i="3"/>
  <c r="BH10" i="3"/>
  <c r="AB11" i="3"/>
  <c r="AP38" i="3"/>
  <c r="BI38" i="3"/>
  <c r="AI39" i="3"/>
  <c r="AI53" i="3"/>
  <c r="AP52" i="3"/>
  <c r="BI52" i="3"/>
  <c r="T88" i="3"/>
  <c r="T28" i="3"/>
  <c r="BG27" i="3"/>
  <c r="BG69" i="3"/>
  <c r="T70" i="3"/>
  <c r="U34" i="3"/>
  <c r="U35" i="3" s="1"/>
  <c r="U36" i="3" s="1"/>
  <c r="AO84" i="3"/>
  <c r="N57" i="3"/>
  <c r="BF56" i="3"/>
  <c r="AH58" i="3"/>
  <c r="M84" i="3"/>
  <c r="BF83" i="3"/>
  <c r="AH28" i="3"/>
  <c r="AH42" i="3"/>
  <c r="AH84" i="3"/>
  <c r="AA14" i="3"/>
  <c r="AH71" i="3"/>
  <c r="AO70" i="3"/>
  <c r="BG54" i="3"/>
  <c r="U55" i="3"/>
  <c r="M42" i="3"/>
  <c r="BF41" i="3"/>
  <c r="T43" i="3"/>
  <c r="BG42" i="3"/>
  <c r="M14" i="3"/>
  <c r="BF13" i="3"/>
  <c r="N29" i="3"/>
  <c r="BF28" i="3"/>
  <c r="M71" i="3"/>
  <c r="BF70" i="3"/>
  <c r="B18" i="10"/>
  <c r="B32" i="10" s="1"/>
  <c r="B5" i="10"/>
  <c r="F50" i="7"/>
  <c r="F49" i="7" s="1"/>
  <c r="G4" i="7"/>
  <c r="I31" i="2" l="1"/>
  <c r="R31" i="2" s="1"/>
  <c r="R30" i="2"/>
  <c r="F33" i="39"/>
  <c r="L25" i="39" s="1"/>
  <c r="L27" i="39" s="1"/>
  <c r="M58" i="2"/>
  <c r="I58" i="2"/>
  <c r="R57" i="2"/>
  <c r="L57" i="2"/>
  <c r="L58" i="2" s="1"/>
  <c r="D15" i="30"/>
  <c r="F15" i="30" s="1"/>
  <c r="D52" i="1"/>
  <c r="E24" i="9"/>
  <c r="I24" i="9" s="1"/>
  <c r="N57" i="2"/>
  <c r="N58" i="2" s="1"/>
  <c r="S57" i="2"/>
  <c r="T57" i="2" s="1"/>
  <c r="AC40" i="12"/>
  <c r="AC60" i="12"/>
  <c r="G44" i="12"/>
  <c r="G39" i="12"/>
  <c r="G60" i="12"/>
  <c r="Y39" i="12"/>
  <c r="Y44" i="12"/>
  <c r="Y40" i="12"/>
  <c r="Y60" i="12"/>
  <c r="AM44" i="12"/>
  <c r="AM40" i="12"/>
  <c r="AM60" i="12"/>
  <c r="AM39" i="12"/>
  <c r="BG15" i="3"/>
  <c r="U85" i="3"/>
  <c r="U86" i="3" s="1"/>
  <c r="E27" i="9"/>
  <c r="I27" i="9" s="1"/>
  <c r="S30" i="2"/>
  <c r="T30" i="2" s="1"/>
  <c r="L30" i="2"/>
  <c r="Q30" i="2" s="1"/>
  <c r="Q31" i="2" s="1"/>
  <c r="N30" i="2"/>
  <c r="N31" i="2" s="1"/>
  <c r="K31" i="2"/>
  <c r="I3" i="11"/>
  <c r="I7" i="11" s="1"/>
  <c r="S54" i="2"/>
  <c r="T54" i="2" s="1"/>
  <c r="S56" i="2"/>
  <c r="T56" i="2" s="1"/>
  <c r="S55" i="2"/>
  <c r="T55" i="2" s="1"/>
  <c r="R39" i="12"/>
  <c r="R40" i="12"/>
  <c r="R44" i="12"/>
  <c r="R60" i="12"/>
  <c r="AY40" i="12"/>
  <c r="AY44" i="12"/>
  <c r="AY60" i="12"/>
  <c r="AY39" i="12"/>
  <c r="H40" i="12"/>
  <c r="H60" i="12"/>
  <c r="H44" i="12"/>
  <c r="H39" i="12"/>
  <c r="G122" i="3"/>
  <c r="F123" i="3"/>
  <c r="Q38" i="2"/>
  <c r="Q39" i="2" s="1"/>
  <c r="Z44" i="12"/>
  <c r="Z39" i="12"/>
  <c r="Z40" i="12"/>
  <c r="Z60" i="12"/>
  <c r="AN39" i="12"/>
  <c r="AN44" i="12"/>
  <c r="AN60" i="12"/>
  <c r="AN40" i="12"/>
  <c r="AP60" i="12"/>
  <c r="AP39" i="12"/>
  <c r="AP44" i="12"/>
  <c r="AP40" i="12"/>
  <c r="H4" i="10"/>
  <c r="I4" i="10" s="1"/>
  <c r="J4" i="10" s="1"/>
  <c r="K4" i="10" s="1"/>
  <c r="F17" i="9"/>
  <c r="H6" i="11"/>
  <c r="H10" i="11" s="1"/>
  <c r="N4" i="10"/>
  <c r="O4" i="10" s="1"/>
  <c r="L4" i="10"/>
  <c r="M4" i="10" s="1"/>
  <c r="C5" i="10"/>
  <c r="D11" i="7"/>
  <c r="I30" i="3" s="1"/>
  <c r="S17" i="2"/>
  <c r="T17" i="2" s="1"/>
  <c r="S18" i="2"/>
  <c r="T18" i="2" s="1"/>
  <c r="S16" i="2"/>
  <c r="T16" i="2" s="1"/>
  <c r="O8" i="11"/>
  <c r="O4" i="11"/>
  <c r="C140" i="5"/>
  <c r="J47" i="9" s="1"/>
  <c r="E116" i="7"/>
  <c r="C114" i="7" s="1"/>
  <c r="C25" i="30" s="1"/>
  <c r="Q11" i="7"/>
  <c r="Q24" i="7" s="1"/>
  <c r="AU70" i="3"/>
  <c r="Z70" i="3"/>
  <c r="AG70" i="3"/>
  <c r="S70" i="3"/>
  <c r="L70" i="3"/>
  <c r="AN70" i="3"/>
  <c r="E71" i="3"/>
  <c r="AB54" i="3"/>
  <c r="BH54" i="3" s="1"/>
  <c r="N19" i="2"/>
  <c r="M19" i="2"/>
  <c r="R19" i="2" s="1"/>
  <c r="BC43" i="3"/>
  <c r="C44" i="3"/>
  <c r="BB43" i="3"/>
  <c r="BJ80" i="3"/>
  <c r="AP81" i="3"/>
  <c r="AI82" i="3"/>
  <c r="BI81" i="3"/>
  <c r="BC87" i="3"/>
  <c r="C88" i="3"/>
  <c r="BB87" i="3"/>
  <c r="AU42" i="3"/>
  <c r="S42" i="3"/>
  <c r="AG42" i="3"/>
  <c r="Z42" i="3"/>
  <c r="L42" i="3"/>
  <c r="E43" i="3"/>
  <c r="AN42" i="3"/>
  <c r="AB83" i="3"/>
  <c r="BH82" i="3"/>
  <c r="T38" i="2"/>
  <c r="Q47" i="2"/>
  <c r="T46" i="2"/>
  <c r="BJ24" i="3"/>
  <c r="AP25" i="3"/>
  <c r="L19" i="2"/>
  <c r="L47" i="2"/>
  <c r="BH26" i="3"/>
  <c r="AB27" i="3"/>
  <c r="AI26" i="3"/>
  <c r="BI25" i="3"/>
  <c r="AN27" i="3"/>
  <c r="AU27" i="3"/>
  <c r="E28" i="3"/>
  <c r="Z27" i="3"/>
  <c r="AG27" i="3"/>
  <c r="L27" i="3"/>
  <c r="S27" i="3"/>
  <c r="J13" i="11"/>
  <c r="I21" i="11"/>
  <c r="K36" i="8"/>
  <c r="K57" i="8"/>
  <c r="K21" i="8"/>
  <c r="K38" i="8"/>
  <c r="K46" i="8"/>
  <c r="K37" i="8"/>
  <c r="B16" i="11"/>
  <c r="G31" i="9"/>
  <c r="K40" i="8"/>
  <c r="K4" i="8"/>
  <c r="K26" i="8"/>
  <c r="K43" i="8"/>
  <c r="K6" i="8"/>
  <c r="B18" i="11"/>
  <c r="G33" i="9"/>
  <c r="B62" i="11"/>
  <c r="B46" i="11"/>
  <c r="B30" i="11"/>
  <c r="B15" i="11"/>
  <c r="G30" i="9"/>
  <c r="B39" i="11"/>
  <c r="B57" i="11"/>
  <c r="B35" i="11"/>
  <c r="B36" i="11"/>
  <c r="B8" i="11"/>
  <c r="B40" i="11"/>
  <c r="B7" i="11"/>
  <c r="B43" i="11"/>
  <c r="B33" i="11"/>
  <c r="B67" i="11"/>
  <c r="K31" i="8"/>
  <c r="K10" i="8"/>
  <c r="K35" i="8"/>
  <c r="K23" i="8"/>
  <c r="B20" i="11"/>
  <c r="B55" i="11"/>
  <c r="B13" i="11"/>
  <c r="B48" i="11"/>
  <c r="B65" i="11"/>
  <c r="K27" i="8"/>
  <c r="K48" i="8"/>
  <c r="K11" i="8"/>
  <c r="K30" i="8"/>
  <c r="K9" i="8"/>
  <c r="B12" i="11"/>
  <c r="G25" i="9"/>
  <c r="K32" i="8"/>
  <c r="K53" i="8"/>
  <c r="K16" i="8"/>
  <c r="K34" i="8"/>
  <c r="K28" i="8"/>
  <c r="K19" i="8"/>
  <c r="B14" i="11"/>
  <c r="B58" i="11"/>
  <c r="B42" i="11"/>
  <c r="B9" i="11"/>
  <c r="B61" i="11"/>
  <c r="B51" i="11"/>
  <c r="B23" i="11"/>
  <c r="B41" i="11"/>
  <c r="B60" i="11"/>
  <c r="B28" i="11"/>
  <c r="B31" i="11"/>
  <c r="B64" i="11"/>
  <c r="B32" i="11"/>
  <c r="G32" i="9"/>
  <c r="B47" i="11"/>
  <c r="K45" i="8"/>
  <c r="K5" i="8"/>
  <c r="K50" i="8"/>
  <c r="K15" i="8"/>
  <c r="B34" i="11"/>
  <c r="B29" i="11"/>
  <c r="B44" i="11"/>
  <c r="B49" i="11"/>
  <c r="G23" i="9"/>
  <c r="K59" i="8"/>
  <c r="K17" i="8"/>
  <c r="K39" i="8"/>
  <c r="K56" i="8"/>
  <c r="K20" i="8"/>
  <c r="K42" i="8"/>
  <c r="B19" i="11"/>
  <c r="B3" i="11"/>
  <c r="B68" i="11"/>
  <c r="K22" i="8"/>
  <c r="K44" i="8"/>
  <c r="K7" i="8"/>
  <c r="K25" i="8"/>
  <c r="K60" i="8"/>
  <c r="K51" i="8"/>
  <c r="B5" i="11"/>
  <c r="B69" i="11"/>
  <c r="B54" i="11"/>
  <c r="B38" i="11"/>
  <c r="G26" i="9"/>
  <c r="B4" i="11"/>
  <c r="B45" i="11"/>
  <c r="G24" i="9"/>
  <c r="B25" i="11"/>
  <c r="B52" i="11"/>
  <c r="B37" i="11"/>
  <c r="B59" i="11"/>
  <c r="B56" i="11"/>
  <c r="B24" i="11"/>
  <c r="B53" i="11"/>
  <c r="G28" i="9"/>
  <c r="K8" i="8"/>
  <c r="K47" i="8"/>
  <c r="B21" i="11"/>
  <c r="K12" i="8"/>
  <c r="K52" i="8"/>
  <c r="K33" i="8"/>
  <c r="B50" i="11"/>
  <c r="B27" i="11"/>
  <c r="B17" i="11"/>
  <c r="J58" i="11"/>
  <c r="I62" i="11"/>
  <c r="Q19" i="2"/>
  <c r="Q23" i="9"/>
  <c r="P28" i="9"/>
  <c r="J36" i="11"/>
  <c r="I37" i="11"/>
  <c r="L69" i="11"/>
  <c r="M67" i="11"/>
  <c r="J9" i="11"/>
  <c r="J5" i="11"/>
  <c r="BI66" i="3"/>
  <c r="AP66" i="3"/>
  <c r="AI67" i="3"/>
  <c r="G108" i="3"/>
  <c r="F109" i="3"/>
  <c r="AB68" i="3"/>
  <c r="BH67" i="3"/>
  <c r="BB74" i="3"/>
  <c r="BC74" i="3"/>
  <c r="C75" i="3"/>
  <c r="L83" i="3"/>
  <c r="S83" i="3"/>
  <c r="AG83" i="3"/>
  <c r="AN83" i="3"/>
  <c r="E84" i="3"/>
  <c r="Z83" i="3"/>
  <c r="AU83" i="3"/>
  <c r="E14" i="3"/>
  <c r="AN13" i="3"/>
  <c r="S13" i="3"/>
  <c r="Z13" i="3"/>
  <c r="AU13" i="3"/>
  <c r="AG13" i="3"/>
  <c r="L13" i="3"/>
  <c r="S56" i="3"/>
  <c r="Z56" i="3"/>
  <c r="AG56" i="3"/>
  <c r="AU56" i="3"/>
  <c r="E57" i="3"/>
  <c r="L56" i="3"/>
  <c r="AN56" i="3"/>
  <c r="E40" i="12"/>
  <c r="E60" i="12"/>
  <c r="E39" i="12"/>
  <c r="E44" i="12"/>
  <c r="M33" i="11"/>
  <c r="T76" i="12"/>
  <c r="M28" i="11"/>
  <c r="L32" i="11"/>
  <c r="M59" i="11"/>
  <c r="X50" i="11"/>
  <c r="C21" i="12"/>
  <c r="C34" i="12" s="1"/>
  <c r="B16" i="12"/>
  <c r="B34" i="12" s="1"/>
  <c r="C19" i="12"/>
  <c r="P60" i="12"/>
  <c r="P44" i="12"/>
  <c r="P39" i="12"/>
  <c r="P40" i="12"/>
  <c r="AB60" i="12"/>
  <c r="AB44" i="12"/>
  <c r="AB39" i="12"/>
  <c r="AB40" i="12"/>
  <c r="AJ60" i="12"/>
  <c r="AJ39" i="12"/>
  <c r="AJ44" i="12"/>
  <c r="AJ40" i="12"/>
  <c r="AR60" i="12"/>
  <c r="AR39" i="12"/>
  <c r="AR44" i="12"/>
  <c r="AR40" i="12"/>
  <c r="M42" i="11"/>
  <c r="L49" i="11"/>
  <c r="W38" i="11"/>
  <c r="M54" i="11"/>
  <c r="L57" i="11"/>
  <c r="O15" i="12"/>
  <c r="O33" i="12" s="1"/>
  <c r="AE15" i="12"/>
  <c r="AE33" i="12" s="1"/>
  <c r="E15" i="12"/>
  <c r="E33" i="12" s="1"/>
  <c r="U15" i="12"/>
  <c r="U33" i="12" s="1"/>
  <c r="AK15" i="12"/>
  <c r="AK33" i="12" s="1"/>
  <c r="AH15" i="12"/>
  <c r="AH33" i="12" s="1"/>
  <c r="Q15" i="12"/>
  <c r="Q33" i="12" s="1"/>
  <c r="AG15" i="12"/>
  <c r="AG33" i="12" s="1"/>
  <c r="Z15" i="12"/>
  <c r="Z33" i="12" s="1"/>
  <c r="AV15" i="12"/>
  <c r="AV33" i="12" s="1"/>
  <c r="T15" i="12"/>
  <c r="T33" i="12" s="1"/>
  <c r="AS15" i="12"/>
  <c r="AS33" i="12" s="1"/>
  <c r="V15" i="12"/>
  <c r="V33" i="12" s="1"/>
  <c r="AT15" i="12"/>
  <c r="AT33" i="12" s="1"/>
  <c r="AF15" i="12"/>
  <c r="AF33" i="12" s="1"/>
  <c r="AU15" i="12"/>
  <c r="AU33" i="12" s="1"/>
  <c r="AZ15" i="12"/>
  <c r="AZ33" i="12" s="1"/>
  <c r="AB15" i="12"/>
  <c r="AB33" i="12" s="1"/>
  <c r="AW15" i="12"/>
  <c r="AW33" i="12" s="1"/>
  <c r="AD15" i="12"/>
  <c r="AD33" i="12" s="1"/>
  <c r="AX15" i="12"/>
  <c r="AX33" i="12" s="1"/>
  <c r="H15" i="12"/>
  <c r="H33" i="12" s="1"/>
  <c r="S15" i="12"/>
  <c r="S33" i="12" s="1"/>
  <c r="AI15" i="12"/>
  <c r="AI33" i="12" s="1"/>
  <c r="I15" i="12"/>
  <c r="I33" i="12" s="1"/>
  <c r="Y15" i="12"/>
  <c r="Y33" i="12" s="1"/>
  <c r="J15" i="12"/>
  <c r="J33" i="12" s="1"/>
  <c r="AN15" i="12"/>
  <c r="AN33" i="12" s="1"/>
  <c r="D15" i="12"/>
  <c r="D33" i="12" s="1"/>
  <c r="AJ15" i="12"/>
  <c r="AJ33" i="12" s="1"/>
  <c r="F15" i="12"/>
  <c r="F33" i="12" s="1"/>
  <c r="AL15" i="12"/>
  <c r="AL33" i="12" s="1"/>
  <c r="X15" i="12"/>
  <c r="X33" i="12" s="1"/>
  <c r="AQ15" i="12"/>
  <c r="AQ33" i="12" s="1"/>
  <c r="G15" i="12"/>
  <c r="G33" i="12" s="1"/>
  <c r="W15" i="12"/>
  <c r="W33" i="12" s="1"/>
  <c r="AM15" i="12"/>
  <c r="AM33" i="12" s="1"/>
  <c r="M15" i="12"/>
  <c r="M33" i="12" s="1"/>
  <c r="AC15" i="12"/>
  <c r="AC33" i="12" s="1"/>
  <c r="R15" i="12"/>
  <c r="R33" i="12" s="1"/>
  <c r="AR15" i="12"/>
  <c r="AR33" i="12" s="1"/>
  <c r="L15" i="12"/>
  <c r="L33" i="12" s="1"/>
  <c r="AO15" i="12"/>
  <c r="AO33" i="12" s="1"/>
  <c r="N15" i="12"/>
  <c r="N33" i="12" s="1"/>
  <c r="AP15" i="12"/>
  <c r="AP33" i="12" s="1"/>
  <c r="AY15" i="12"/>
  <c r="AY33" i="12" s="1"/>
  <c r="P15" i="12"/>
  <c r="P33" i="12" s="1"/>
  <c r="K15" i="12"/>
  <c r="K33" i="12" s="1"/>
  <c r="AA15" i="12"/>
  <c r="AA33" i="12" s="1"/>
  <c r="C15" i="12"/>
  <c r="W12" i="11"/>
  <c r="J39" i="12"/>
  <c r="J60" i="12"/>
  <c r="J44" i="12"/>
  <c r="J40" i="12"/>
  <c r="U40" i="12"/>
  <c r="U60" i="12"/>
  <c r="U44" i="12"/>
  <c r="U39" i="12"/>
  <c r="AD44" i="12"/>
  <c r="AD60" i="12"/>
  <c r="AD39" i="12"/>
  <c r="AD40" i="12"/>
  <c r="AL39" i="12"/>
  <c r="AL60" i="12"/>
  <c r="AL44" i="12"/>
  <c r="AL40" i="12"/>
  <c r="AU40" i="12"/>
  <c r="AU60" i="12"/>
  <c r="AU44" i="12"/>
  <c r="AU39" i="12"/>
  <c r="BB57" i="3"/>
  <c r="C58" i="3"/>
  <c r="BC57" i="3"/>
  <c r="L73" i="12"/>
  <c r="X27" i="11"/>
  <c r="AI40" i="3"/>
  <c r="BI39" i="3"/>
  <c r="AP39" i="3"/>
  <c r="BJ38" i="3"/>
  <c r="AB12" i="3"/>
  <c r="BH11" i="3"/>
  <c r="AI11" i="3"/>
  <c r="BI10" i="3"/>
  <c r="AP10" i="3"/>
  <c r="AB41" i="3"/>
  <c r="BH40" i="3"/>
  <c r="AP53" i="3"/>
  <c r="BJ52" i="3"/>
  <c r="AI54" i="3"/>
  <c r="BI53" i="3"/>
  <c r="BG70" i="3"/>
  <c r="T71" i="3"/>
  <c r="T29" i="3"/>
  <c r="BG28" i="3"/>
  <c r="T89" i="3"/>
  <c r="U56" i="3"/>
  <c r="BG55" i="3"/>
  <c r="AH85" i="3"/>
  <c r="AO71" i="3"/>
  <c r="AH72" i="3"/>
  <c r="AA15" i="3"/>
  <c r="AH43" i="3"/>
  <c r="AH29" i="3"/>
  <c r="M85" i="3"/>
  <c r="BF84" i="3"/>
  <c r="AH59" i="3"/>
  <c r="N58" i="3"/>
  <c r="BF57" i="3"/>
  <c r="AO85" i="3"/>
  <c r="M72" i="3"/>
  <c r="BF71" i="3"/>
  <c r="N30" i="3"/>
  <c r="BF29" i="3"/>
  <c r="M15" i="3"/>
  <c r="BF14" i="3"/>
  <c r="T44" i="3"/>
  <c r="BG43" i="3"/>
  <c r="U17" i="3"/>
  <c r="BG16" i="3"/>
  <c r="BF42" i="3"/>
  <c r="M43" i="3"/>
  <c r="F51" i="7"/>
  <c r="G5" i="7"/>
  <c r="B19" i="10"/>
  <c r="B33" i="10" s="1"/>
  <c r="B6" i="10"/>
  <c r="L29" i="39" l="1"/>
  <c r="L30" i="39"/>
  <c r="G56" i="39"/>
  <c r="G55" i="39"/>
  <c r="K29" i="8"/>
  <c r="K61" i="8"/>
  <c r="Q57" i="2"/>
  <c r="Q58" i="2" s="1"/>
  <c r="K24" i="8"/>
  <c r="K41" i="8"/>
  <c r="R58" i="2"/>
  <c r="K49" i="8"/>
  <c r="K54" i="8"/>
  <c r="K13" i="8"/>
  <c r="BG85" i="3"/>
  <c r="G27" i="9"/>
  <c r="L31" i="2"/>
  <c r="I6" i="11"/>
  <c r="I10" i="11" s="1"/>
  <c r="J3" i="11"/>
  <c r="J7" i="11" s="1"/>
  <c r="G16" i="2"/>
  <c r="G56" i="2"/>
  <c r="G55" i="2"/>
  <c r="G54" i="2"/>
  <c r="F124" i="3"/>
  <c r="G123" i="3"/>
  <c r="AB55" i="3"/>
  <c r="AB56" i="3" s="1"/>
  <c r="I22" i="3"/>
  <c r="P4" i="10"/>
  <c r="I66" i="3"/>
  <c r="I71" i="3"/>
  <c r="I25" i="3"/>
  <c r="I82" i="3"/>
  <c r="I83" i="3"/>
  <c r="I12" i="3"/>
  <c r="I60" i="3"/>
  <c r="I16" i="3"/>
  <c r="I47" i="3"/>
  <c r="I56" i="3"/>
  <c r="I89" i="3"/>
  <c r="I32" i="3"/>
  <c r="I28" i="3"/>
  <c r="I29" i="3"/>
  <c r="I74" i="3"/>
  <c r="I21" i="3"/>
  <c r="I91" i="3"/>
  <c r="I61" i="3"/>
  <c r="I68" i="3"/>
  <c r="D57" i="7"/>
  <c r="I69" i="3"/>
  <c r="I36" i="3"/>
  <c r="I72" i="3"/>
  <c r="I77" i="3"/>
  <c r="I62" i="3"/>
  <c r="I70" i="3"/>
  <c r="I39" i="3"/>
  <c r="I80" i="3"/>
  <c r="I17" i="3"/>
  <c r="I75" i="3"/>
  <c r="I50" i="3"/>
  <c r="I26" i="3"/>
  <c r="I84" i="3"/>
  <c r="I67" i="3"/>
  <c r="I44" i="3"/>
  <c r="I31" i="3"/>
  <c r="I11" i="3"/>
  <c r="L5" i="10"/>
  <c r="M5" i="10" s="1"/>
  <c r="D5" i="10"/>
  <c r="I40" i="3"/>
  <c r="I81" i="3"/>
  <c r="I90" i="3"/>
  <c r="I52" i="3"/>
  <c r="I55" i="3"/>
  <c r="I15" i="3"/>
  <c r="I14" i="3"/>
  <c r="I48" i="3"/>
  <c r="I45" i="3"/>
  <c r="I24" i="3"/>
  <c r="I38" i="3"/>
  <c r="I46" i="3"/>
  <c r="I53" i="3"/>
  <c r="I87" i="3"/>
  <c r="I33" i="3"/>
  <c r="I42" i="3"/>
  <c r="I64" i="3"/>
  <c r="I35" i="3"/>
  <c r="I11" i="7"/>
  <c r="P11" i="7" s="1"/>
  <c r="P24" i="7" s="1"/>
  <c r="F25" i="30" s="1"/>
  <c r="I18" i="3"/>
  <c r="I58" i="3"/>
  <c r="I34" i="3"/>
  <c r="I20" i="3"/>
  <c r="I86" i="3"/>
  <c r="I73" i="3"/>
  <c r="I41" i="3"/>
  <c r="I63" i="3"/>
  <c r="I57" i="3"/>
  <c r="I92" i="3"/>
  <c r="I13" i="3"/>
  <c r="I27" i="3"/>
  <c r="I10" i="3"/>
  <c r="I85" i="3"/>
  <c r="I78" i="3"/>
  <c r="I76" i="3"/>
  <c r="I54" i="3"/>
  <c r="I43" i="3"/>
  <c r="I88" i="3"/>
  <c r="I19" i="3"/>
  <c r="I49" i="3"/>
  <c r="I59" i="3"/>
  <c r="D6" i="5"/>
  <c r="D13" i="5" s="1"/>
  <c r="P8" i="11"/>
  <c r="P4" i="11"/>
  <c r="Q57" i="7"/>
  <c r="Q70" i="7" s="1"/>
  <c r="H25" i="30" s="1"/>
  <c r="AU71" i="3"/>
  <c r="L71" i="3"/>
  <c r="E72" i="3"/>
  <c r="Z71" i="3"/>
  <c r="AG71" i="3"/>
  <c r="S71" i="3"/>
  <c r="AN71" i="3"/>
  <c r="BH83" i="3"/>
  <c r="AB84" i="3"/>
  <c r="AI83" i="3"/>
  <c r="BI82" i="3"/>
  <c r="BB44" i="3"/>
  <c r="BC44" i="3"/>
  <c r="C45" i="3"/>
  <c r="C89" i="3"/>
  <c r="BB88" i="3"/>
  <c r="BC88" i="3"/>
  <c r="AP82" i="3"/>
  <c r="BJ81" i="3"/>
  <c r="S43" i="3"/>
  <c r="AG43" i="3"/>
  <c r="AU43" i="3"/>
  <c r="Z43" i="3"/>
  <c r="AN43" i="3"/>
  <c r="L43" i="3"/>
  <c r="E44" i="3"/>
  <c r="AI27" i="3"/>
  <c r="BI26" i="3"/>
  <c r="BH27" i="3"/>
  <c r="AB28" i="3"/>
  <c r="BJ25" i="3"/>
  <c r="AP26" i="3"/>
  <c r="S28" i="3"/>
  <c r="E29" i="3"/>
  <c r="AN28" i="3"/>
  <c r="AG28" i="3"/>
  <c r="AU28" i="3"/>
  <c r="Z28" i="3"/>
  <c r="L28" i="3"/>
  <c r="G19" i="2"/>
  <c r="G129" i="2"/>
  <c r="G63" i="2"/>
  <c r="G13" i="2"/>
  <c r="G110" i="2"/>
  <c r="G78" i="2"/>
  <c r="G34" i="2"/>
  <c r="G131" i="2"/>
  <c r="G65" i="2"/>
  <c r="G18" i="2"/>
  <c r="G42" i="2"/>
  <c r="G96" i="2"/>
  <c r="G104" i="2"/>
  <c r="G32" i="2"/>
  <c r="G50" i="2"/>
  <c r="G48" i="2"/>
  <c r="G99" i="2"/>
  <c r="G67" i="2"/>
  <c r="G21" i="2"/>
  <c r="G115" i="2"/>
  <c r="G82" i="2"/>
  <c r="G40" i="2"/>
  <c r="G30" i="2"/>
  <c r="G101" i="2"/>
  <c r="G69" i="2"/>
  <c r="G23" i="2"/>
  <c r="G68" i="2"/>
  <c r="G112" i="2"/>
  <c r="G60" i="2"/>
  <c r="G53" i="2"/>
  <c r="G87" i="2"/>
  <c r="G46" i="2"/>
  <c r="G3" i="2"/>
  <c r="G102" i="2"/>
  <c r="G24" i="2"/>
  <c r="G123" i="2"/>
  <c r="G6" i="2"/>
  <c r="G26" i="2"/>
  <c r="G125" i="2"/>
  <c r="G59" i="2"/>
  <c r="G74" i="2"/>
  <c r="G10" i="2"/>
  <c r="G72" i="2"/>
  <c r="G121" i="2"/>
  <c r="G9" i="2"/>
  <c r="G39" i="2"/>
  <c r="G31" i="2"/>
  <c r="G111" i="2"/>
  <c r="G79" i="2"/>
  <c r="G35" i="2"/>
  <c r="G128" i="2"/>
  <c r="G94" i="2"/>
  <c r="G62" i="2"/>
  <c r="G11" i="2"/>
  <c r="G113" i="2"/>
  <c r="G81" i="2"/>
  <c r="G37" i="2"/>
  <c r="G117" i="2"/>
  <c r="G45" i="2"/>
  <c r="G17" i="2"/>
  <c r="G108" i="2"/>
  <c r="G4" i="2"/>
  <c r="G49" i="2"/>
  <c r="G116" i="2"/>
  <c r="G83" i="2"/>
  <c r="G41" i="2"/>
  <c r="G132" i="2"/>
  <c r="G98" i="2"/>
  <c r="G66" i="2"/>
  <c r="G20" i="2"/>
  <c r="G118" i="2"/>
  <c r="G85" i="2"/>
  <c r="G43" i="2"/>
  <c r="G15" i="2"/>
  <c r="G122" i="2"/>
  <c r="G36" i="2"/>
  <c r="G126" i="2"/>
  <c r="G88" i="2"/>
  <c r="G103" i="2"/>
  <c r="G71" i="2"/>
  <c r="G25" i="2"/>
  <c r="G86" i="2"/>
  <c r="G44" i="2"/>
  <c r="Q28" i="9"/>
  <c r="G73" i="2"/>
  <c r="G84" i="2"/>
  <c r="G130" i="2"/>
  <c r="G76" i="2"/>
  <c r="G55" i="8"/>
  <c r="G58" i="8" s="1"/>
  <c r="G90" i="2"/>
  <c r="G7" i="2"/>
  <c r="G77" i="2"/>
  <c r="G100" i="2"/>
  <c r="G92" i="2"/>
  <c r="G70" i="2"/>
  <c r="G89" i="2"/>
  <c r="G51" i="2"/>
  <c r="G64" i="2"/>
  <c r="G91" i="2"/>
  <c r="G106" i="2"/>
  <c r="G28" i="2"/>
  <c r="G61" i="2"/>
  <c r="G80" i="2"/>
  <c r="G57" i="2"/>
  <c r="G105" i="2"/>
  <c r="G27" i="2"/>
  <c r="G52" i="2"/>
  <c r="G107" i="2"/>
  <c r="G75" i="2"/>
  <c r="G29" i="2"/>
  <c r="G58" i="2"/>
  <c r="G109" i="2"/>
  <c r="G33" i="2"/>
  <c r="G14" i="2"/>
  <c r="G47" i="2"/>
  <c r="G38" i="2"/>
  <c r="G8" i="2"/>
  <c r="G93" i="2"/>
  <c r="G22" i="2"/>
  <c r="K58" i="11"/>
  <c r="J62" i="11"/>
  <c r="K13" i="11"/>
  <c r="J21" i="11"/>
  <c r="K36" i="11"/>
  <c r="J37" i="11"/>
  <c r="B6" i="11"/>
  <c r="B10" i="11" s="1"/>
  <c r="M69" i="11"/>
  <c r="N67" i="11"/>
  <c r="AG57" i="3"/>
  <c r="L57" i="3"/>
  <c r="E58" i="3"/>
  <c r="S57" i="3"/>
  <c r="Z57" i="3"/>
  <c r="AN57" i="3"/>
  <c r="AU57" i="3"/>
  <c r="AU14" i="3"/>
  <c r="E15" i="3"/>
  <c r="AG14" i="3"/>
  <c r="L14" i="3"/>
  <c r="AN14" i="3"/>
  <c r="S14" i="3"/>
  <c r="Z14" i="3"/>
  <c r="BI67" i="3"/>
  <c r="AI68" i="3"/>
  <c r="K5" i="11"/>
  <c r="K9" i="11"/>
  <c r="BB75" i="3"/>
  <c r="BC75" i="3"/>
  <c r="C76" i="3"/>
  <c r="AB69" i="3"/>
  <c r="BH68" i="3"/>
  <c r="BJ66" i="3"/>
  <c r="AP67" i="3"/>
  <c r="AU84" i="3"/>
  <c r="L84" i="3"/>
  <c r="Z84" i="3"/>
  <c r="E85" i="3"/>
  <c r="AN84" i="3"/>
  <c r="AG84" i="3"/>
  <c r="S84" i="3"/>
  <c r="F110" i="3"/>
  <c r="G109" i="3"/>
  <c r="X12" i="11"/>
  <c r="B15" i="12"/>
  <c r="C33" i="12"/>
  <c r="K70" i="12"/>
  <c r="K71" i="12"/>
  <c r="AY70" i="12"/>
  <c r="AY71" i="12"/>
  <c r="N70" i="12"/>
  <c r="N71" i="12"/>
  <c r="L71" i="12"/>
  <c r="L70" i="12"/>
  <c r="R70" i="12"/>
  <c r="R71" i="12"/>
  <c r="M71" i="12"/>
  <c r="M70" i="12"/>
  <c r="W70" i="12"/>
  <c r="W71" i="12"/>
  <c r="AQ71" i="12"/>
  <c r="AQ70" i="12"/>
  <c r="AL71" i="12"/>
  <c r="AL70" i="12"/>
  <c r="AJ70" i="12"/>
  <c r="AJ71" i="12"/>
  <c r="AN70" i="12"/>
  <c r="AN71" i="12"/>
  <c r="Y70" i="12"/>
  <c r="Y71" i="12"/>
  <c r="AI71" i="12"/>
  <c r="AI70" i="12"/>
  <c r="H71" i="12"/>
  <c r="H70" i="12"/>
  <c r="AD70" i="12"/>
  <c r="AD71" i="12"/>
  <c r="AB71" i="12"/>
  <c r="AB70" i="12"/>
  <c r="AU71" i="12"/>
  <c r="AU70" i="12"/>
  <c r="AT71" i="12"/>
  <c r="AT70" i="12"/>
  <c r="AS71" i="12"/>
  <c r="AS70" i="12"/>
  <c r="AV70" i="12"/>
  <c r="AV71" i="12"/>
  <c r="AG71" i="12"/>
  <c r="AG70" i="12"/>
  <c r="AH70" i="12"/>
  <c r="AH71" i="12"/>
  <c r="U71" i="12"/>
  <c r="U70" i="12"/>
  <c r="AE70" i="12"/>
  <c r="AE71" i="12"/>
  <c r="N54" i="11"/>
  <c r="M57" i="11"/>
  <c r="X38" i="11"/>
  <c r="N42" i="11"/>
  <c r="M49" i="11"/>
  <c r="Y50" i="11"/>
  <c r="N59" i="11"/>
  <c r="N28" i="11"/>
  <c r="M32" i="11"/>
  <c r="Y27" i="11"/>
  <c r="M73" i="12"/>
  <c r="C59" i="3"/>
  <c r="BC58" i="3"/>
  <c r="BB58" i="3"/>
  <c r="AA71" i="12"/>
  <c r="AA70" i="12"/>
  <c r="P70" i="12"/>
  <c r="P71" i="12"/>
  <c r="AP70" i="12"/>
  <c r="AP71" i="12"/>
  <c r="AO71" i="12"/>
  <c r="AO70" i="12"/>
  <c r="AR70" i="12"/>
  <c r="AR71" i="12"/>
  <c r="AC70" i="12"/>
  <c r="AC71" i="12"/>
  <c r="AM70" i="12"/>
  <c r="AM71" i="12"/>
  <c r="G70" i="12"/>
  <c r="G71" i="12"/>
  <c r="X71" i="12"/>
  <c r="X70" i="12"/>
  <c r="F70" i="12"/>
  <c r="F71" i="12"/>
  <c r="D71" i="12"/>
  <c r="D70" i="12"/>
  <c r="J70" i="12"/>
  <c r="J71" i="12"/>
  <c r="I71" i="12"/>
  <c r="I70" i="12"/>
  <c r="S70" i="12"/>
  <c r="S71" i="12"/>
  <c r="AX70" i="12"/>
  <c r="AX71" i="12"/>
  <c r="AW71" i="12"/>
  <c r="AW70" i="12"/>
  <c r="AZ70" i="12"/>
  <c r="AZ71" i="12"/>
  <c r="AF71" i="12"/>
  <c r="AF70" i="12"/>
  <c r="V71" i="12"/>
  <c r="V70" i="12"/>
  <c r="T70" i="12"/>
  <c r="T71" i="12"/>
  <c r="Z70" i="12"/>
  <c r="Z71" i="12"/>
  <c r="Q70" i="12"/>
  <c r="Q71" i="12"/>
  <c r="AK70" i="12"/>
  <c r="AK71" i="12"/>
  <c r="E71" i="12"/>
  <c r="E70" i="12"/>
  <c r="O70" i="12"/>
  <c r="O71" i="12"/>
  <c r="U76" i="12"/>
  <c r="N33" i="11"/>
  <c r="AB42" i="3"/>
  <c r="BH41" i="3"/>
  <c r="AP11" i="3"/>
  <c r="BJ10" i="3"/>
  <c r="AI12" i="3"/>
  <c r="BI11" i="3"/>
  <c r="AB13" i="3"/>
  <c r="BH12" i="3"/>
  <c r="BJ39" i="3"/>
  <c r="AP40" i="3"/>
  <c r="AI41" i="3"/>
  <c r="BI40" i="3"/>
  <c r="BI54" i="3"/>
  <c r="AI55" i="3"/>
  <c r="BJ53" i="3"/>
  <c r="AP54" i="3"/>
  <c r="BG86" i="3"/>
  <c r="U87" i="3"/>
  <c r="T90" i="3"/>
  <c r="T30" i="3"/>
  <c r="BG29" i="3"/>
  <c r="T72" i="3"/>
  <c r="BG71" i="3"/>
  <c r="AO86" i="3"/>
  <c r="N59" i="3"/>
  <c r="BF58" i="3"/>
  <c r="AH60" i="3"/>
  <c r="M86" i="3"/>
  <c r="BF85" i="3"/>
  <c r="AH30" i="3"/>
  <c r="AH44" i="3"/>
  <c r="AA16" i="3"/>
  <c r="AH73" i="3"/>
  <c r="AO72" i="3"/>
  <c r="AH86" i="3"/>
  <c r="U57" i="3"/>
  <c r="BG56" i="3"/>
  <c r="M44" i="3"/>
  <c r="BF43" i="3"/>
  <c r="U18" i="3"/>
  <c r="BG17" i="3"/>
  <c r="BG44" i="3"/>
  <c r="T45" i="3"/>
  <c r="M16" i="3"/>
  <c r="BF15" i="3"/>
  <c r="N31" i="3"/>
  <c r="BF30" i="3"/>
  <c r="M73" i="3"/>
  <c r="BF72" i="3"/>
  <c r="B7" i="10"/>
  <c r="B20" i="10"/>
  <c r="B34" i="10" s="1"/>
  <c r="G6" i="7"/>
  <c r="F52" i="7"/>
  <c r="J48" i="9" l="1"/>
  <c r="F12" i="39"/>
  <c r="K55" i="8"/>
  <c r="K58" i="8" s="1"/>
  <c r="J6" i="11"/>
  <c r="K3" i="11"/>
  <c r="K7" i="11" s="1"/>
  <c r="BH55" i="3"/>
  <c r="G124" i="3"/>
  <c r="F125" i="3"/>
  <c r="I93" i="3"/>
  <c r="I23" i="3"/>
  <c r="E5" i="10"/>
  <c r="C6" i="10"/>
  <c r="I79" i="3"/>
  <c r="D62" i="13" s="1"/>
  <c r="I65" i="3"/>
  <c r="I51" i="3"/>
  <c r="D60" i="13" s="1"/>
  <c r="I37" i="3"/>
  <c r="Q4" i="11"/>
  <c r="Q8" i="11"/>
  <c r="B34" i="7"/>
  <c r="B79" i="7"/>
  <c r="S72" i="3"/>
  <c r="E73" i="3"/>
  <c r="Z72" i="3"/>
  <c r="AU72" i="3"/>
  <c r="L72" i="3"/>
  <c r="AN72" i="3"/>
  <c r="AG72" i="3"/>
  <c r="J10" i="11"/>
  <c r="BB89" i="3"/>
  <c r="BC89" i="3"/>
  <c r="C90" i="3"/>
  <c r="AG44" i="3"/>
  <c r="L44" i="3"/>
  <c r="E45" i="3"/>
  <c r="AN44" i="3"/>
  <c r="Z44" i="3"/>
  <c r="S44" i="3"/>
  <c r="AU44" i="3"/>
  <c r="AP83" i="3"/>
  <c r="BJ82" i="3"/>
  <c r="BC45" i="3"/>
  <c r="BB45" i="3"/>
  <c r="C46" i="3"/>
  <c r="AI84" i="3"/>
  <c r="BI83" i="3"/>
  <c r="AB85" i="3"/>
  <c r="BH84" i="3"/>
  <c r="AP27" i="3"/>
  <c r="BJ26" i="3"/>
  <c r="AI28" i="3"/>
  <c r="BI27" i="3"/>
  <c r="BH28" i="3"/>
  <c r="AB29" i="3"/>
  <c r="E30" i="3"/>
  <c r="S29" i="3"/>
  <c r="AN29" i="3"/>
  <c r="L29" i="3"/>
  <c r="AU29" i="3"/>
  <c r="Z29" i="3"/>
  <c r="AG29" i="3"/>
  <c r="L3" i="11"/>
  <c r="L13" i="11"/>
  <c r="K21" i="11"/>
  <c r="L58" i="11"/>
  <c r="K62" i="11"/>
  <c r="G63" i="11"/>
  <c r="B63" i="11" s="1"/>
  <c r="AE72" i="12"/>
  <c r="AH72" i="12"/>
  <c r="AV72" i="12"/>
  <c r="Y72" i="12"/>
  <c r="AJ72" i="12"/>
  <c r="AY72" i="12"/>
  <c r="L36" i="11"/>
  <c r="K37" i="11"/>
  <c r="D51" i="1"/>
  <c r="AK72" i="12"/>
  <c r="AZ72" i="12"/>
  <c r="AM72" i="12"/>
  <c r="AP72" i="12"/>
  <c r="N69" i="11"/>
  <c r="O67" i="11"/>
  <c r="O72" i="12"/>
  <c r="Z72" i="12"/>
  <c r="AX72" i="12"/>
  <c r="AR72" i="12"/>
  <c r="Q72" i="12"/>
  <c r="G72" i="12"/>
  <c r="G74" i="12" s="1"/>
  <c r="G75" i="12" s="1"/>
  <c r="G77" i="12" s="1"/>
  <c r="F111" i="3"/>
  <c r="G110" i="3"/>
  <c r="C77" i="3"/>
  <c r="BB76" i="3"/>
  <c r="BC76" i="3"/>
  <c r="AI69" i="3"/>
  <c r="BI68" i="3"/>
  <c r="AU15" i="3"/>
  <c r="AN15" i="3"/>
  <c r="E16" i="3"/>
  <c r="Z15" i="3"/>
  <c r="AG15" i="3"/>
  <c r="S15" i="3"/>
  <c r="L15" i="3"/>
  <c r="S58" i="3"/>
  <c r="Z58" i="3"/>
  <c r="L58" i="3"/>
  <c r="AU58" i="3"/>
  <c r="AG58" i="3"/>
  <c r="AN58" i="3"/>
  <c r="E59" i="3"/>
  <c r="AN85" i="3"/>
  <c r="AU85" i="3"/>
  <c r="Z85" i="3"/>
  <c r="S85" i="3"/>
  <c r="AG85" i="3"/>
  <c r="E86" i="3"/>
  <c r="L85" i="3"/>
  <c r="AP68" i="3"/>
  <c r="BJ67" i="3"/>
  <c r="T72" i="12"/>
  <c r="S72" i="12"/>
  <c r="J72" i="12"/>
  <c r="J74" i="12" s="1"/>
  <c r="J75" i="12" s="1"/>
  <c r="J77" i="12" s="1"/>
  <c r="F72" i="12"/>
  <c r="F74" i="12" s="1"/>
  <c r="F75" i="12" s="1"/>
  <c r="F77" i="12" s="1"/>
  <c r="AC72" i="12"/>
  <c r="P72" i="12"/>
  <c r="AD72" i="12"/>
  <c r="AN72" i="12"/>
  <c r="W72" i="12"/>
  <c r="R72" i="12"/>
  <c r="N72" i="12"/>
  <c r="K72" i="12"/>
  <c r="K74" i="12" s="1"/>
  <c r="K75" i="12" s="1"/>
  <c r="K77" i="12" s="1"/>
  <c r="AB70" i="3"/>
  <c r="BH69" i="3"/>
  <c r="L5" i="11"/>
  <c r="L9" i="11"/>
  <c r="O33" i="11"/>
  <c r="N73" i="12"/>
  <c r="Z27" i="11"/>
  <c r="O42" i="11"/>
  <c r="N49" i="11"/>
  <c r="O54" i="11"/>
  <c r="N57" i="11"/>
  <c r="V76" i="12"/>
  <c r="E72" i="12"/>
  <c r="E74" i="12" s="1"/>
  <c r="E75" i="12" s="1"/>
  <c r="E77" i="12" s="1"/>
  <c r="V72" i="12"/>
  <c r="AF72" i="12"/>
  <c r="AW72" i="12"/>
  <c r="I72" i="12"/>
  <c r="I74" i="12" s="1"/>
  <c r="I75" i="12" s="1"/>
  <c r="I77" i="12" s="1"/>
  <c r="D72" i="12"/>
  <c r="D74" i="12" s="1"/>
  <c r="D75" i="12" s="1"/>
  <c r="D77" i="12" s="1"/>
  <c r="X72" i="12"/>
  <c r="AO72" i="12"/>
  <c r="AA72" i="12"/>
  <c r="C60" i="3"/>
  <c r="BB59" i="3"/>
  <c r="BC59" i="3"/>
  <c r="O28" i="11"/>
  <c r="N32" i="11"/>
  <c r="O59" i="11"/>
  <c r="Z50" i="11"/>
  <c r="Y38" i="11"/>
  <c r="U72" i="12"/>
  <c r="AG72" i="12"/>
  <c r="AS72" i="12"/>
  <c r="AT72" i="12"/>
  <c r="AU72" i="12"/>
  <c r="AB72" i="12"/>
  <c r="H72" i="12"/>
  <c r="H74" i="12" s="1"/>
  <c r="H75" i="12" s="1"/>
  <c r="H77" i="12" s="1"/>
  <c r="AI72" i="12"/>
  <c r="AL72" i="12"/>
  <c r="AQ72" i="12"/>
  <c r="M72" i="12"/>
  <c r="M74" i="12" s="1"/>
  <c r="M75" i="12" s="1"/>
  <c r="M77" i="12" s="1"/>
  <c r="L72" i="12"/>
  <c r="L74" i="12" s="1"/>
  <c r="L75" i="12" s="1"/>
  <c r="L77" i="12" s="1"/>
  <c r="C71" i="12"/>
  <c r="C39" i="12"/>
  <c r="C70" i="12"/>
  <c r="Y12" i="11"/>
  <c r="BJ40" i="3"/>
  <c r="AP41" i="3"/>
  <c r="AI42" i="3"/>
  <c r="BI41" i="3"/>
  <c r="AB14" i="3"/>
  <c r="BH13" i="3"/>
  <c r="AI13" i="3"/>
  <c r="BI12" i="3"/>
  <c r="BJ11" i="3"/>
  <c r="AP12" i="3"/>
  <c r="AB43" i="3"/>
  <c r="BH42" i="3"/>
  <c r="AP55" i="3"/>
  <c r="BJ54" i="3"/>
  <c r="AI56" i="3"/>
  <c r="BI55" i="3"/>
  <c r="BH56" i="3"/>
  <c r="AB57" i="3"/>
  <c r="U88" i="3"/>
  <c r="BG87" i="3"/>
  <c r="T73" i="3"/>
  <c r="BG72" i="3"/>
  <c r="T31" i="3"/>
  <c r="BG30" i="3"/>
  <c r="T91" i="3"/>
  <c r="U58" i="3"/>
  <c r="BG57" i="3"/>
  <c r="AH87" i="3"/>
  <c r="AO73" i="3"/>
  <c r="AH74" i="3"/>
  <c r="AA17" i="3"/>
  <c r="AH45" i="3"/>
  <c r="AH31" i="3"/>
  <c r="M87" i="3"/>
  <c r="BF86" i="3"/>
  <c r="AH61" i="3"/>
  <c r="N60" i="3"/>
  <c r="BF59" i="3"/>
  <c r="AO87" i="3"/>
  <c r="T46" i="3"/>
  <c r="BG45" i="3"/>
  <c r="M74" i="3"/>
  <c r="BF73" i="3"/>
  <c r="N32" i="3"/>
  <c r="BF31" i="3"/>
  <c r="M17" i="3"/>
  <c r="BF16" i="3"/>
  <c r="U19" i="3"/>
  <c r="BG18" i="3"/>
  <c r="BF44" i="3"/>
  <c r="M45" i="3"/>
  <c r="F53" i="7"/>
  <c r="G7" i="7"/>
  <c r="B8" i="10"/>
  <c r="B21" i="10"/>
  <c r="B35" i="10" s="1"/>
  <c r="K6" i="11" l="1"/>
  <c r="K10" i="11" s="1"/>
  <c r="G125" i="3"/>
  <c r="F126" i="3"/>
  <c r="I94" i="3"/>
  <c r="J11" i="7" s="1"/>
  <c r="K11" i="7" s="1"/>
  <c r="L6" i="10"/>
  <c r="M6" i="10" s="1"/>
  <c r="D6" i="10"/>
  <c r="H5" i="10"/>
  <c r="I5" i="10" s="1"/>
  <c r="J5" i="10" s="1"/>
  <c r="K5" i="10" s="1"/>
  <c r="N5" i="10"/>
  <c r="R4" i="11"/>
  <c r="R8" i="11"/>
  <c r="E74" i="3"/>
  <c r="L73" i="3"/>
  <c r="Z73" i="3"/>
  <c r="AU73" i="3"/>
  <c r="AG73" i="3"/>
  <c r="S73" i="3"/>
  <c r="AN73" i="3"/>
  <c r="BH85" i="3"/>
  <c r="AB86" i="3"/>
  <c r="E46" i="3"/>
  <c r="Z45" i="3"/>
  <c r="AN45" i="3"/>
  <c r="AG45" i="3"/>
  <c r="AU45" i="3"/>
  <c r="S45" i="3"/>
  <c r="L45" i="3"/>
  <c r="C91" i="3"/>
  <c r="BC90" i="3"/>
  <c r="BB90" i="3"/>
  <c r="AI85" i="3"/>
  <c r="BI84" i="3"/>
  <c r="C47" i="3"/>
  <c r="BB46" i="3"/>
  <c r="BC46" i="3"/>
  <c r="AP84" i="3"/>
  <c r="BJ83" i="3"/>
  <c r="AI29" i="3"/>
  <c r="BI28" i="3"/>
  <c r="AB30" i="3"/>
  <c r="BH29" i="3"/>
  <c r="AP28" i="3"/>
  <c r="BJ27" i="3"/>
  <c r="AG30" i="3"/>
  <c r="E31" i="3"/>
  <c r="Z30" i="3"/>
  <c r="AN30" i="3"/>
  <c r="AU30" i="3"/>
  <c r="L30" i="3"/>
  <c r="S30" i="3"/>
  <c r="L7" i="11"/>
  <c r="M3" i="11"/>
  <c r="M36" i="11"/>
  <c r="L37" i="11"/>
  <c r="M58" i="11"/>
  <c r="L62" i="11"/>
  <c r="G66" i="11"/>
  <c r="H63" i="11"/>
  <c r="M13" i="11"/>
  <c r="L21" i="11"/>
  <c r="O69" i="11"/>
  <c r="P67" i="11"/>
  <c r="C72" i="12"/>
  <c r="C74" i="12" s="1"/>
  <c r="C75" i="12" s="1"/>
  <c r="C77" i="12" s="1"/>
  <c r="AB71" i="3"/>
  <c r="BH70" i="3"/>
  <c r="C78" i="3"/>
  <c r="BC77" i="3"/>
  <c r="BB77" i="3"/>
  <c r="AP69" i="3"/>
  <c r="BJ68" i="3"/>
  <c r="E87" i="3"/>
  <c r="AG86" i="3"/>
  <c r="Z86" i="3"/>
  <c r="AN86" i="3"/>
  <c r="L86" i="3"/>
  <c r="AU86" i="3"/>
  <c r="S86" i="3"/>
  <c r="Z59" i="3"/>
  <c r="L59" i="3"/>
  <c r="AG59" i="3"/>
  <c r="E60" i="3"/>
  <c r="AN59" i="3"/>
  <c r="AU59" i="3"/>
  <c r="S59" i="3"/>
  <c r="AG16" i="3"/>
  <c r="L16" i="3"/>
  <c r="S16" i="3"/>
  <c r="E17" i="3"/>
  <c r="AU16" i="3"/>
  <c r="AN16" i="3"/>
  <c r="Z16" i="3"/>
  <c r="BI69" i="3"/>
  <c r="AI70" i="3"/>
  <c r="G111" i="3"/>
  <c r="F112" i="3"/>
  <c r="G112" i="3" s="1"/>
  <c r="M9" i="11"/>
  <c r="M5" i="11"/>
  <c r="L6" i="11"/>
  <c r="Z38" i="11"/>
  <c r="AA50" i="11"/>
  <c r="P54" i="11"/>
  <c r="O57" i="11"/>
  <c r="P42" i="11"/>
  <c r="O49" i="11"/>
  <c r="Z12" i="11"/>
  <c r="P59" i="11"/>
  <c r="P28" i="11"/>
  <c r="O32" i="11"/>
  <c r="BB60" i="3"/>
  <c r="C61" i="3"/>
  <c r="BC60" i="3"/>
  <c r="W76" i="12"/>
  <c r="AA27" i="11"/>
  <c r="N74" i="12"/>
  <c r="N75" i="12" s="1"/>
  <c r="N77" i="12" s="1"/>
  <c r="O73" i="12"/>
  <c r="P33" i="11"/>
  <c r="AP13" i="3"/>
  <c r="BJ12" i="3"/>
  <c r="BJ41" i="3"/>
  <c r="AP42" i="3"/>
  <c r="BH43" i="3"/>
  <c r="AB44" i="3"/>
  <c r="BI13" i="3"/>
  <c r="AI14" i="3"/>
  <c r="AB15" i="3"/>
  <c r="BH14" i="3"/>
  <c r="AI43" i="3"/>
  <c r="BI42" i="3"/>
  <c r="AB58" i="3"/>
  <c r="BH57" i="3"/>
  <c r="AI57" i="3"/>
  <c r="BI56" i="3"/>
  <c r="AP56" i="3"/>
  <c r="BJ55" i="3"/>
  <c r="T92" i="3"/>
  <c r="T32" i="3"/>
  <c r="BG31" i="3"/>
  <c r="T74" i="3"/>
  <c r="BG73" i="3"/>
  <c r="U89" i="3"/>
  <c r="BG88" i="3"/>
  <c r="AO88" i="3"/>
  <c r="N61" i="3"/>
  <c r="BF60" i="3"/>
  <c r="AH62" i="3"/>
  <c r="BF87" i="3"/>
  <c r="M88" i="3"/>
  <c r="AH32" i="3"/>
  <c r="AH46" i="3"/>
  <c r="AA18" i="3"/>
  <c r="AH75" i="3"/>
  <c r="AO74" i="3"/>
  <c r="AH88" i="3"/>
  <c r="U59" i="3"/>
  <c r="BG58" i="3"/>
  <c r="M46" i="3"/>
  <c r="BF45" i="3"/>
  <c r="U20" i="3"/>
  <c r="BG19" i="3"/>
  <c r="M18" i="3"/>
  <c r="BF17" i="3"/>
  <c r="N33" i="3"/>
  <c r="BF32" i="3"/>
  <c r="M75" i="3"/>
  <c r="BF74" i="3"/>
  <c r="T47" i="3"/>
  <c r="BG46" i="3"/>
  <c r="F54" i="7"/>
  <c r="G8" i="7"/>
  <c r="F55" i="7"/>
  <c r="B9" i="10"/>
  <c r="B22" i="10"/>
  <c r="B36" i="10" s="1"/>
  <c r="F127" i="3" l="1"/>
  <c r="G127" i="3" s="1"/>
  <c r="G126" i="3"/>
  <c r="G128" i="3" s="1"/>
  <c r="B66" i="11"/>
  <c r="J48" i="37"/>
  <c r="J10" i="7"/>
  <c r="K10" i="7" s="1"/>
  <c r="K24" i="7" s="1"/>
  <c r="B50" i="12" s="1"/>
  <c r="AK50" i="12" s="1"/>
  <c r="E6" i="10"/>
  <c r="H6" i="10" s="1"/>
  <c r="I6" i="10" s="1"/>
  <c r="J6" i="10" s="1"/>
  <c r="C7" i="10"/>
  <c r="F7" i="3"/>
  <c r="F2" i="3" s="1"/>
  <c r="AQ52" i="3" s="1"/>
  <c r="AQ53" i="3" s="1"/>
  <c r="AQ54" i="3" s="1"/>
  <c r="O5" i="10"/>
  <c r="P5" i="10"/>
  <c r="S4" i="11"/>
  <c r="S8" i="11"/>
  <c r="Z74" i="3"/>
  <c r="S74" i="3"/>
  <c r="AG74" i="3"/>
  <c r="E75" i="3"/>
  <c r="AN74" i="3"/>
  <c r="AU74" i="3"/>
  <c r="L74" i="3"/>
  <c r="L10" i="11"/>
  <c r="BB47" i="3"/>
  <c r="BC47" i="3"/>
  <c r="C48" i="3"/>
  <c r="S46" i="3"/>
  <c r="L46" i="3"/>
  <c r="AN46" i="3"/>
  <c r="AG46" i="3"/>
  <c r="E47" i="3"/>
  <c r="AU46" i="3"/>
  <c r="Z46" i="3"/>
  <c r="AP85" i="3"/>
  <c r="BJ84" i="3"/>
  <c r="BC91" i="3"/>
  <c r="C92" i="3"/>
  <c r="C93" i="3" s="1"/>
  <c r="BB91" i="3"/>
  <c r="AB87" i="3"/>
  <c r="BH86" i="3"/>
  <c r="AI86" i="3"/>
  <c r="BI85" i="3"/>
  <c r="AB31" i="3"/>
  <c r="BH30" i="3"/>
  <c r="BJ28" i="3"/>
  <c r="AP29" i="3"/>
  <c r="AI30" i="3"/>
  <c r="BI29" i="3"/>
  <c r="L31" i="3"/>
  <c r="Z31" i="3"/>
  <c r="S31" i="3"/>
  <c r="AN31" i="3"/>
  <c r="AU31" i="3"/>
  <c r="E32" i="3"/>
  <c r="AG31" i="3"/>
  <c r="M7" i="11"/>
  <c r="N3" i="11"/>
  <c r="I63" i="11"/>
  <c r="H66" i="11"/>
  <c r="N58" i="11"/>
  <c r="M62" i="11"/>
  <c r="N36" i="11"/>
  <c r="M37" i="11"/>
  <c r="N13" i="11"/>
  <c r="M21" i="11"/>
  <c r="P69" i="11"/>
  <c r="Q67" i="11"/>
  <c r="G113" i="3"/>
  <c r="J41" i="37" s="1"/>
  <c r="AG60" i="3"/>
  <c r="S60" i="3"/>
  <c r="AN60" i="3"/>
  <c r="L60" i="3"/>
  <c r="Z60" i="3"/>
  <c r="E61" i="3"/>
  <c r="AU60" i="3"/>
  <c r="AP70" i="3"/>
  <c r="BJ69" i="3"/>
  <c r="BC78" i="3"/>
  <c r="BC79" i="3" s="1"/>
  <c r="BB78" i="3"/>
  <c r="BB79" i="3" s="1"/>
  <c r="N9" i="11"/>
  <c r="N5" i="11"/>
  <c r="M6" i="11"/>
  <c r="AG17" i="3"/>
  <c r="L17" i="3"/>
  <c r="E18" i="3"/>
  <c r="AN17" i="3"/>
  <c r="Z17" i="3"/>
  <c r="S17" i="3"/>
  <c r="AU17" i="3"/>
  <c r="BH71" i="3"/>
  <c r="AB72" i="3"/>
  <c r="BI70" i="3"/>
  <c r="AI71" i="3"/>
  <c r="AN87" i="3"/>
  <c r="AG87" i="3"/>
  <c r="L87" i="3"/>
  <c r="AU87" i="3"/>
  <c r="Z87" i="3"/>
  <c r="E88" i="3"/>
  <c r="S87" i="3"/>
  <c r="C79" i="3"/>
  <c r="P73" i="12"/>
  <c r="O74" i="12"/>
  <c r="O75" i="12" s="1"/>
  <c r="O77" i="12" s="1"/>
  <c r="C62" i="3"/>
  <c r="BC61" i="3"/>
  <c r="BB61" i="3"/>
  <c r="Q42" i="11"/>
  <c r="P49" i="11"/>
  <c r="Q54" i="11"/>
  <c r="P57" i="11"/>
  <c r="AB50" i="11"/>
  <c r="Q33" i="11"/>
  <c r="AB27" i="11"/>
  <c r="X76" i="12"/>
  <c r="Q28" i="11"/>
  <c r="P32" i="11"/>
  <c r="Q59" i="11"/>
  <c r="AA12" i="11"/>
  <c r="AA38" i="11"/>
  <c r="BI14" i="3"/>
  <c r="AI15" i="3"/>
  <c r="AB45" i="3"/>
  <c r="BH44" i="3"/>
  <c r="BJ42" i="3"/>
  <c r="AP43" i="3"/>
  <c r="AI44" i="3"/>
  <c r="BI43" i="3"/>
  <c r="AB16" i="3"/>
  <c r="BH15" i="3"/>
  <c r="BJ13" i="3"/>
  <c r="AP14" i="3"/>
  <c r="BJ56" i="3"/>
  <c r="AP57" i="3"/>
  <c r="BI57" i="3"/>
  <c r="AI58" i="3"/>
  <c r="AB59" i="3"/>
  <c r="BH58" i="3"/>
  <c r="U90" i="3"/>
  <c r="BG89" i="3"/>
  <c r="BG74" i="3"/>
  <c r="T75" i="3"/>
  <c r="T33" i="3"/>
  <c r="BG32" i="3"/>
  <c r="M89" i="3"/>
  <c r="BF88" i="3"/>
  <c r="U60" i="3"/>
  <c r="BG59" i="3"/>
  <c r="AH89" i="3"/>
  <c r="AO75" i="3"/>
  <c r="AO76" i="3" s="1"/>
  <c r="AO77" i="3" s="1"/>
  <c r="AH76" i="3"/>
  <c r="AH77" i="3" s="1"/>
  <c r="AA19" i="3"/>
  <c r="AH47" i="3"/>
  <c r="AH33" i="3"/>
  <c r="AH63" i="3"/>
  <c r="N62" i="3"/>
  <c r="BF61" i="3"/>
  <c r="AO89" i="3"/>
  <c r="T48" i="3"/>
  <c r="BG47" i="3"/>
  <c r="M76" i="3"/>
  <c r="BF75" i="3"/>
  <c r="N34" i="3"/>
  <c r="BF33" i="3"/>
  <c r="M19" i="3"/>
  <c r="BF18" i="3"/>
  <c r="U21" i="3"/>
  <c r="BG20" i="3"/>
  <c r="BF46" i="3"/>
  <c r="M47" i="3"/>
  <c r="B23" i="10"/>
  <c r="B37" i="10" s="1"/>
  <c r="B10" i="10"/>
  <c r="G9" i="7"/>
  <c r="F56" i="7"/>
  <c r="D132" i="3" l="1"/>
  <c r="U33" i="9"/>
  <c r="S33" i="9" s="1"/>
  <c r="G9" i="11"/>
  <c r="F128" i="3"/>
  <c r="AR53" i="3"/>
  <c r="AQ66" i="3"/>
  <c r="AQ67" i="3" s="1"/>
  <c r="V38" i="3"/>
  <c r="W38" i="3" s="1"/>
  <c r="AC80" i="3"/>
  <c r="AC81" i="3" s="1"/>
  <c r="AD81" i="3" s="1"/>
  <c r="AC38" i="3"/>
  <c r="AC39" i="3" s="1"/>
  <c r="V66" i="3"/>
  <c r="V67" i="3" s="1"/>
  <c r="K6" i="10"/>
  <c r="N6" i="10"/>
  <c r="AQ24" i="3"/>
  <c r="AQ25" i="3" s="1"/>
  <c r="AJ24" i="3"/>
  <c r="AK24" i="3" s="1"/>
  <c r="AC52" i="3"/>
  <c r="AD52" i="3" s="1"/>
  <c r="AQ10" i="3"/>
  <c r="AQ11" i="3" s="1"/>
  <c r="O80" i="3"/>
  <c r="O81" i="3" s="1"/>
  <c r="AQ38" i="3"/>
  <c r="AQ39" i="3" s="1"/>
  <c r="AQ40" i="3" s="1"/>
  <c r="AQ41" i="3" s="1"/>
  <c r="V10" i="3"/>
  <c r="W10" i="3" s="1"/>
  <c r="AJ52" i="3"/>
  <c r="AK52" i="3" s="1"/>
  <c r="AJ66" i="3"/>
  <c r="AK66" i="3" s="1"/>
  <c r="O24" i="3"/>
  <c r="O25" i="3" s="1"/>
  <c r="AJ38" i="3"/>
  <c r="AK38" i="3" s="1"/>
  <c r="AC66" i="3"/>
  <c r="O52" i="3"/>
  <c r="P52" i="3" s="1"/>
  <c r="O10" i="3"/>
  <c r="P10" i="3" s="1"/>
  <c r="AJ10" i="3"/>
  <c r="AC10" i="3"/>
  <c r="AD10" i="3" s="1"/>
  <c r="V52" i="3"/>
  <c r="W52" i="3" s="1"/>
  <c r="O38" i="3"/>
  <c r="O39" i="3" s="1"/>
  <c r="O40" i="3" s="1"/>
  <c r="P40" i="3" s="1"/>
  <c r="L7" i="10"/>
  <c r="M7" i="10" s="1"/>
  <c r="D7" i="10"/>
  <c r="O66" i="3"/>
  <c r="O67" i="3" s="1"/>
  <c r="AC24" i="3"/>
  <c r="AC25" i="3" s="1"/>
  <c r="V24" i="3"/>
  <c r="V25" i="3" s="1"/>
  <c r="AQ80" i="3"/>
  <c r="AR80" i="3" s="1"/>
  <c r="AJ80" i="3"/>
  <c r="AJ81" i="3" s="1"/>
  <c r="AK81" i="3" s="1"/>
  <c r="V80" i="3"/>
  <c r="W80" i="3" s="1"/>
  <c r="AR52" i="3"/>
  <c r="T8" i="11"/>
  <c r="T4" i="11"/>
  <c r="AE50" i="12"/>
  <c r="AU50" i="12"/>
  <c r="B41" i="12"/>
  <c r="M41" i="12" s="1"/>
  <c r="M42" i="12" s="1"/>
  <c r="H50" i="12"/>
  <c r="N50" i="12"/>
  <c r="AM50" i="12"/>
  <c r="F50" i="12"/>
  <c r="AC50" i="12"/>
  <c r="AQ50" i="12"/>
  <c r="D50" i="12"/>
  <c r="L50" i="12"/>
  <c r="AO50" i="12"/>
  <c r="G50" i="12"/>
  <c r="Z50" i="12"/>
  <c r="E50" i="12"/>
  <c r="AX50" i="12"/>
  <c r="AR50" i="12"/>
  <c r="AF50" i="12"/>
  <c r="U50" i="12"/>
  <c r="T50" i="12"/>
  <c r="AB50" i="12"/>
  <c r="AV50" i="12"/>
  <c r="Q50" i="12"/>
  <c r="AA50" i="12"/>
  <c r="W50" i="12"/>
  <c r="C50" i="12"/>
  <c r="I50" i="12"/>
  <c r="X50" i="12"/>
  <c r="M50" i="12"/>
  <c r="AG50" i="12"/>
  <c r="S50" i="12"/>
  <c r="AT50" i="12"/>
  <c r="J50" i="12"/>
  <c r="AL50" i="12"/>
  <c r="V50" i="12"/>
  <c r="AP50" i="12"/>
  <c r="AS50" i="12"/>
  <c r="P50" i="12"/>
  <c r="Y50" i="12"/>
  <c r="AI50" i="12"/>
  <c r="AD50" i="12"/>
  <c r="AH50" i="12"/>
  <c r="O50" i="12"/>
  <c r="K50" i="12"/>
  <c r="AJ50" i="12"/>
  <c r="AZ50" i="12"/>
  <c r="R50" i="12"/>
  <c r="AW50" i="12"/>
  <c r="AN50" i="12"/>
  <c r="AY50" i="12"/>
  <c r="AG75" i="3"/>
  <c r="AU75" i="3"/>
  <c r="AN75" i="3"/>
  <c r="Z75" i="3"/>
  <c r="L75" i="3"/>
  <c r="E76" i="3"/>
  <c r="S75" i="3"/>
  <c r="AI87" i="3"/>
  <c r="BI86" i="3"/>
  <c r="AP86" i="3"/>
  <c r="BJ85" i="3"/>
  <c r="BC48" i="3"/>
  <c r="BB48" i="3"/>
  <c r="C49" i="3"/>
  <c r="BB92" i="3"/>
  <c r="BB93" i="3" s="1"/>
  <c r="BC92" i="3"/>
  <c r="BC93" i="3" s="1"/>
  <c r="BH87" i="3"/>
  <c r="AB88" i="3"/>
  <c r="AN47" i="3"/>
  <c r="AU47" i="3"/>
  <c r="Z47" i="3"/>
  <c r="AG47" i="3"/>
  <c r="L47" i="3"/>
  <c r="S47" i="3"/>
  <c r="E48" i="3"/>
  <c r="M10" i="11"/>
  <c r="AI31" i="3"/>
  <c r="BI30" i="3"/>
  <c r="BH31" i="3"/>
  <c r="AB32" i="3"/>
  <c r="AP30" i="3"/>
  <c r="BJ29" i="3"/>
  <c r="AG32" i="3"/>
  <c r="S32" i="3"/>
  <c r="AN32" i="3"/>
  <c r="Z32" i="3"/>
  <c r="L32" i="3"/>
  <c r="E33" i="3"/>
  <c r="AU32" i="3"/>
  <c r="O3" i="11"/>
  <c r="N7" i="11"/>
  <c r="O36" i="11"/>
  <c r="N37" i="11"/>
  <c r="O58" i="11"/>
  <c r="N62" i="11"/>
  <c r="N21" i="11"/>
  <c r="O13" i="11"/>
  <c r="I66" i="11"/>
  <c r="J63" i="11"/>
  <c r="R67" i="11"/>
  <c r="Q69" i="11"/>
  <c r="AI72" i="3"/>
  <c r="BI71" i="3"/>
  <c r="AG61" i="3"/>
  <c r="AU61" i="3"/>
  <c r="S61" i="3"/>
  <c r="AN61" i="3"/>
  <c r="Z61" i="3"/>
  <c r="L61" i="3"/>
  <c r="E62" i="3"/>
  <c r="BH72" i="3"/>
  <c r="AB73" i="3"/>
  <c r="U32" i="9"/>
  <c r="G8" i="11"/>
  <c r="D131" i="3"/>
  <c r="AR54" i="3"/>
  <c r="AQ55" i="3"/>
  <c r="AU88" i="3"/>
  <c r="Z88" i="3"/>
  <c r="S88" i="3"/>
  <c r="AN88" i="3"/>
  <c r="L88" i="3"/>
  <c r="E89" i="3"/>
  <c r="AG88" i="3"/>
  <c r="AG18" i="3"/>
  <c r="AU18" i="3"/>
  <c r="S18" i="3"/>
  <c r="E19" i="3"/>
  <c r="Z18" i="3"/>
  <c r="L18" i="3"/>
  <c r="AN18" i="3"/>
  <c r="O5" i="11"/>
  <c r="O9" i="11"/>
  <c r="N6" i="11"/>
  <c r="AP71" i="3"/>
  <c r="BJ70" i="3"/>
  <c r="AB38" i="11"/>
  <c r="AB12" i="11"/>
  <c r="R59" i="11"/>
  <c r="R28" i="11"/>
  <c r="Q32" i="11"/>
  <c r="R33" i="11"/>
  <c r="AC50" i="11"/>
  <c r="Q73" i="12"/>
  <c r="P74" i="12"/>
  <c r="P75" i="12" s="1"/>
  <c r="P77" i="12" s="1"/>
  <c r="Y76" i="12"/>
  <c r="AC27" i="11"/>
  <c r="R54" i="11"/>
  <c r="Q57" i="11"/>
  <c r="R42" i="11"/>
  <c r="Q49" i="11"/>
  <c r="BB62" i="3"/>
  <c r="C63" i="3"/>
  <c r="BC62" i="3"/>
  <c r="BJ14" i="3"/>
  <c r="AP15" i="3"/>
  <c r="BJ43" i="3"/>
  <c r="AP44" i="3"/>
  <c r="AI16" i="3"/>
  <c r="BI15" i="3"/>
  <c r="AB17" i="3"/>
  <c r="BH16" i="3"/>
  <c r="AI45" i="3"/>
  <c r="BI44" i="3"/>
  <c r="BH45" i="3"/>
  <c r="AB46" i="3"/>
  <c r="AI59" i="3"/>
  <c r="BI58" i="3"/>
  <c r="BJ57" i="3"/>
  <c r="AP58" i="3"/>
  <c r="BH59" i="3"/>
  <c r="AB60" i="3"/>
  <c r="T34" i="3"/>
  <c r="BG33" i="3"/>
  <c r="U91" i="3"/>
  <c r="BG90" i="3"/>
  <c r="T76" i="3"/>
  <c r="BG75" i="3"/>
  <c r="AO90" i="3"/>
  <c r="N63" i="3"/>
  <c r="BF62" i="3"/>
  <c r="AH64" i="3"/>
  <c r="AH34" i="3"/>
  <c r="AH48" i="3"/>
  <c r="AA20" i="3"/>
  <c r="AH78" i="3"/>
  <c r="AO78" i="3"/>
  <c r="AH90" i="3"/>
  <c r="U61" i="3"/>
  <c r="BG60" i="3"/>
  <c r="M90" i="3"/>
  <c r="BF89" i="3"/>
  <c r="BF47" i="3"/>
  <c r="M48" i="3"/>
  <c r="U22" i="3"/>
  <c r="BG22" i="3" s="1"/>
  <c r="BG21" i="3"/>
  <c r="M20" i="3"/>
  <c r="BF19" i="3"/>
  <c r="N35" i="3"/>
  <c r="BF34" i="3"/>
  <c r="M77" i="3"/>
  <c r="BF76" i="3"/>
  <c r="T49" i="3"/>
  <c r="BG48" i="3"/>
  <c r="F57" i="7"/>
  <c r="G10" i="7"/>
  <c r="B11" i="10"/>
  <c r="B24" i="10"/>
  <c r="B38" i="10" s="1"/>
  <c r="AD80" i="3" l="1"/>
  <c r="W66" i="3"/>
  <c r="W24" i="3"/>
  <c r="AD38" i="3"/>
  <c r="AR66" i="3"/>
  <c r="AJ25" i="3"/>
  <c r="AJ26" i="3" s="1"/>
  <c r="AC82" i="3"/>
  <c r="AC83" i="3" s="1"/>
  <c r="AC84" i="3" s="1"/>
  <c r="AR24" i="3"/>
  <c r="AQ81" i="3"/>
  <c r="AR81" i="3" s="1"/>
  <c r="V39" i="3"/>
  <c r="W39" i="3" s="1"/>
  <c r="O11" i="3"/>
  <c r="P11" i="3" s="1"/>
  <c r="O41" i="3"/>
  <c r="P41" i="3" s="1"/>
  <c r="V11" i="3"/>
  <c r="V12" i="3" s="1"/>
  <c r="AC53" i="3"/>
  <c r="AC54" i="3" s="1"/>
  <c r="AR38" i="3"/>
  <c r="P24" i="3"/>
  <c r="AR40" i="3"/>
  <c r="P66" i="3"/>
  <c r="O53" i="3"/>
  <c r="O54" i="3" s="1"/>
  <c r="AJ82" i="3"/>
  <c r="AR39" i="3"/>
  <c r="V53" i="3"/>
  <c r="W53" i="3" s="1"/>
  <c r="P80" i="3"/>
  <c r="AK80" i="3"/>
  <c r="V81" i="3"/>
  <c r="V82" i="3" s="1"/>
  <c r="AJ53" i="3"/>
  <c r="AK53" i="3" s="1"/>
  <c r="P38" i="3"/>
  <c r="AR10" i="3"/>
  <c r="AD24" i="3"/>
  <c r="AC11" i="3"/>
  <c r="AJ39" i="3"/>
  <c r="AK39" i="3" s="1"/>
  <c r="P6" i="10"/>
  <c r="O6" i="10"/>
  <c r="AJ11" i="3"/>
  <c r="AK10" i="3"/>
  <c r="AD66" i="3"/>
  <c r="AC67" i="3"/>
  <c r="AJ67" i="3"/>
  <c r="AJ68" i="3" s="1"/>
  <c r="AJ69" i="3" s="1"/>
  <c r="AK69" i="3" s="1"/>
  <c r="P39" i="3"/>
  <c r="C8" i="10"/>
  <c r="E7" i="10"/>
  <c r="P25" i="3"/>
  <c r="O26" i="3"/>
  <c r="AR25" i="3"/>
  <c r="AQ26" i="3"/>
  <c r="U4" i="11"/>
  <c r="U8" i="11"/>
  <c r="S41" i="12"/>
  <c r="S42" i="12" s="1"/>
  <c r="AU41" i="12"/>
  <c r="AU42" i="12" s="1"/>
  <c r="AS41" i="12"/>
  <c r="AS42" i="12" s="1"/>
  <c r="AR41" i="12"/>
  <c r="AR42" i="12" s="1"/>
  <c r="AI41" i="12"/>
  <c r="AI42" i="12" s="1"/>
  <c r="T41" i="12"/>
  <c r="T42" i="12" s="1"/>
  <c r="U41" i="12"/>
  <c r="U42" i="12" s="1"/>
  <c r="L41" i="12"/>
  <c r="L42" i="12" s="1"/>
  <c r="F41" i="12"/>
  <c r="F42" i="12" s="1"/>
  <c r="Z41" i="12"/>
  <c r="Z42" i="12" s="1"/>
  <c r="Y41" i="12"/>
  <c r="Y42" i="12" s="1"/>
  <c r="AO41" i="12"/>
  <c r="AO42" i="12" s="1"/>
  <c r="G41" i="12"/>
  <c r="G42" i="12" s="1"/>
  <c r="C41" i="12"/>
  <c r="C42" i="12" s="1"/>
  <c r="AK41" i="12"/>
  <c r="AK42" i="12" s="1"/>
  <c r="AE41" i="12"/>
  <c r="AE42" i="12" s="1"/>
  <c r="AF41" i="12"/>
  <c r="AF42" i="12" s="1"/>
  <c r="AT41" i="12"/>
  <c r="AT42" i="12" s="1"/>
  <c r="W41" i="12"/>
  <c r="W42" i="12" s="1"/>
  <c r="AX41" i="12"/>
  <c r="AX42" i="12" s="1"/>
  <c r="AZ41" i="12"/>
  <c r="AZ42" i="12" s="1"/>
  <c r="AQ12" i="3"/>
  <c r="AR11" i="3"/>
  <c r="V26" i="3"/>
  <c r="W25" i="3"/>
  <c r="O68" i="3"/>
  <c r="P67" i="3"/>
  <c r="W67" i="3"/>
  <c r="V68" i="3"/>
  <c r="AC40" i="3"/>
  <c r="AD39" i="3"/>
  <c r="P81" i="3"/>
  <c r="O82" i="3"/>
  <c r="AD25" i="3"/>
  <c r="AC26" i="3"/>
  <c r="AQ68" i="3"/>
  <c r="AR67" i="3"/>
  <c r="AQ41" i="12"/>
  <c r="AQ42" i="12" s="1"/>
  <c r="AA41" i="12"/>
  <c r="AA42" i="12" s="1"/>
  <c r="AL41" i="12"/>
  <c r="AL42" i="12" s="1"/>
  <c r="AW41" i="12"/>
  <c r="AW42" i="12" s="1"/>
  <c r="AC41" i="12"/>
  <c r="AC42" i="12" s="1"/>
  <c r="AN41" i="12"/>
  <c r="AN42" i="12" s="1"/>
  <c r="AY41" i="12"/>
  <c r="AY42" i="12" s="1"/>
  <c r="P41" i="12"/>
  <c r="P42" i="12" s="1"/>
  <c r="R41" i="12"/>
  <c r="R42" i="12" s="1"/>
  <c r="Q41" i="12"/>
  <c r="Q42" i="12" s="1"/>
  <c r="AB41" i="12"/>
  <c r="AB42" i="12" s="1"/>
  <c r="H41" i="12"/>
  <c r="H42" i="12" s="1"/>
  <c r="V41" i="12"/>
  <c r="V42" i="12" s="1"/>
  <c r="N41" i="12"/>
  <c r="N42" i="12" s="1"/>
  <c r="D41" i="12"/>
  <c r="D42" i="12" s="1"/>
  <c r="J41" i="12"/>
  <c r="J42" i="12" s="1"/>
  <c r="AP41" i="12"/>
  <c r="AP42" i="12" s="1"/>
  <c r="I41" i="12"/>
  <c r="I42" i="12" s="1"/>
  <c r="AH41" i="12"/>
  <c r="AH42" i="12" s="1"/>
  <c r="AD41" i="12"/>
  <c r="AD42" i="12" s="1"/>
  <c r="AJ41" i="12"/>
  <c r="AJ42" i="12" s="1"/>
  <c r="K41" i="12"/>
  <c r="K42" i="12" s="1"/>
  <c r="X41" i="12"/>
  <c r="X42" i="12" s="1"/>
  <c r="AM41" i="12"/>
  <c r="AM42" i="12" s="1"/>
  <c r="AV41" i="12"/>
  <c r="AV42" i="12" s="1"/>
  <c r="E41" i="12"/>
  <c r="E42" i="12" s="1"/>
  <c r="AG41" i="12"/>
  <c r="AG42" i="12" s="1"/>
  <c r="O41" i="12"/>
  <c r="O42" i="12" s="1"/>
  <c r="E77" i="3"/>
  <c r="AU76" i="3"/>
  <c r="AN76" i="3"/>
  <c r="AG76" i="3"/>
  <c r="Z76" i="3"/>
  <c r="S76" i="3"/>
  <c r="L76" i="3"/>
  <c r="AB89" i="3"/>
  <c r="BH88" i="3"/>
  <c r="BB49" i="3"/>
  <c r="C50" i="3"/>
  <c r="C51" i="3" s="1"/>
  <c r="BC49" i="3"/>
  <c r="AP87" i="3"/>
  <c r="BJ86" i="3"/>
  <c r="E49" i="3"/>
  <c r="AU48" i="3"/>
  <c r="AN48" i="3"/>
  <c r="AG48" i="3"/>
  <c r="Z48" i="3"/>
  <c r="S48" i="3"/>
  <c r="L48" i="3"/>
  <c r="AI88" i="3"/>
  <c r="BI87" i="3"/>
  <c r="N10" i="11"/>
  <c r="AP31" i="3"/>
  <c r="BJ30" i="3"/>
  <c r="AI32" i="3"/>
  <c r="BI31" i="3"/>
  <c r="AB33" i="3"/>
  <c r="BH32" i="3"/>
  <c r="Z33" i="3"/>
  <c r="L33" i="3"/>
  <c r="E34" i="3"/>
  <c r="AU33" i="3"/>
  <c r="AG33" i="3"/>
  <c r="S33" i="3"/>
  <c r="AN33" i="3"/>
  <c r="O7" i="11"/>
  <c r="P3" i="11"/>
  <c r="J66" i="11"/>
  <c r="K63" i="11"/>
  <c r="P58" i="11"/>
  <c r="O62" i="11"/>
  <c r="P13" i="11"/>
  <c r="O21" i="11"/>
  <c r="P36" i="11"/>
  <c r="O37" i="11"/>
  <c r="S67" i="11"/>
  <c r="R69" i="11"/>
  <c r="L19" i="3"/>
  <c r="AN19" i="3"/>
  <c r="AU19" i="3"/>
  <c r="S19" i="3"/>
  <c r="AG19" i="3"/>
  <c r="E20" i="3"/>
  <c r="Z19" i="3"/>
  <c r="Z62" i="3"/>
  <c r="E63" i="3"/>
  <c r="AU62" i="3"/>
  <c r="AG62" i="3"/>
  <c r="S62" i="3"/>
  <c r="AN62" i="3"/>
  <c r="L62" i="3"/>
  <c r="AP72" i="3"/>
  <c r="BJ71" i="3"/>
  <c r="AQ56" i="3"/>
  <c r="AR55" i="3"/>
  <c r="AI73" i="3"/>
  <c r="BI72" i="3"/>
  <c r="AR41" i="3"/>
  <c r="AQ42" i="3"/>
  <c r="BH73" i="3"/>
  <c r="AB74" i="3"/>
  <c r="P5" i="11"/>
  <c r="P9" i="11"/>
  <c r="O6" i="11"/>
  <c r="F39" i="30"/>
  <c r="G10" i="11"/>
  <c r="AN89" i="3"/>
  <c r="AG89" i="3"/>
  <c r="L89" i="3"/>
  <c r="S89" i="3"/>
  <c r="E90" i="3"/>
  <c r="Z89" i="3"/>
  <c r="AU89" i="3"/>
  <c r="S32" i="9"/>
  <c r="S34" i="9" s="1"/>
  <c r="U34" i="9"/>
  <c r="BB63" i="3"/>
  <c r="BC63" i="3"/>
  <c r="C64" i="3"/>
  <c r="Z76" i="12"/>
  <c r="R73" i="12"/>
  <c r="Q74" i="12"/>
  <c r="Q75" i="12" s="1"/>
  <c r="Q77" i="12" s="1"/>
  <c r="S33" i="11"/>
  <c r="S28" i="11"/>
  <c r="R32" i="11"/>
  <c r="S59" i="11"/>
  <c r="S42" i="11"/>
  <c r="R49" i="11"/>
  <c r="S54" i="11"/>
  <c r="R57" i="11"/>
  <c r="AD27" i="11"/>
  <c r="AD50" i="11"/>
  <c r="AC12" i="11"/>
  <c r="AC38" i="11"/>
  <c r="C65" i="3"/>
  <c r="BH46" i="3"/>
  <c r="AB47" i="3"/>
  <c r="AP45" i="3"/>
  <c r="BJ44" i="3"/>
  <c r="BJ15" i="3"/>
  <c r="AP16" i="3"/>
  <c r="AI46" i="3"/>
  <c r="BI45" i="3"/>
  <c r="AB18" i="3"/>
  <c r="BH17" i="3"/>
  <c r="AI17" i="3"/>
  <c r="BI16" i="3"/>
  <c r="BH60" i="3"/>
  <c r="AB61" i="3"/>
  <c r="AP59" i="3"/>
  <c r="BJ58" i="3"/>
  <c r="BI59" i="3"/>
  <c r="AI60" i="3"/>
  <c r="T77" i="3"/>
  <c r="BG76" i="3"/>
  <c r="U92" i="3"/>
  <c r="BG92" i="3" s="1"/>
  <c r="BG91" i="3"/>
  <c r="BG34" i="3"/>
  <c r="T35" i="3"/>
  <c r="M91" i="3"/>
  <c r="BF90" i="3"/>
  <c r="U62" i="3"/>
  <c r="BG61" i="3"/>
  <c r="AH91" i="3"/>
  <c r="AA21" i="3"/>
  <c r="AH49" i="3"/>
  <c r="AH35" i="3"/>
  <c r="N64" i="3"/>
  <c r="BF64" i="3" s="1"/>
  <c r="BF63" i="3"/>
  <c r="AO91" i="3"/>
  <c r="BF48" i="3"/>
  <c r="M49" i="3"/>
  <c r="T50" i="3"/>
  <c r="BG50" i="3" s="1"/>
  <c r="BG49" i="3"/>
  <c r="M78" i="3"/>
  <c r="BF78" i="3" s="1"/>
  <c r="BF77" i="3"/>
  <c r="N36" i="3"/>
  <c r="BF36" i="3" s="1"/>
  <c r="BF35" i="3"/>
  <c r="M21" i="3"/>
  <c r="BF20" i="3"/>
  <c r="B12" i="10"/>
  <c r="B25" i="10"/>
  <c r="B39" i="10" s="1"/>
  <c r="F60" i="7"/>
  <c r="G11" i="7"/>
  <c r="AK25" i="3" l="1"/>
  <c r="V40" i="3"/>
  <c r="V41" i="3" s="1"/>
  <c r="AD83" i="3"/>
  <c r="AD53" i="3"/>
  <c r="V54" i="3"/>
  <c r="W54" i="3" s="1"/>
  <c r="AD82" i="3"/>
  <c r="AQ82" i="3"/>
  <c r="AR82" i="3" s="1"/>
  <c r="O10" i="11"/>
  <c r="O12" i="3"/>
  <c r="P12" i="3" s="1"/>
  <c r="W11" i="3"/>
  <c r="O42" i="3"/>
  <c r="P42" i="3" s="1"/>
  <c r="P53" i="3"/>
  <c r="AJ70" i="3"/>
  <c r="AK70" i="3" s="1"/>
  <c r="AJ54" i="3"/>
  <c r="AJ55" i="3" s="1"/>
  <c r="AK67" i="3"/>
  <c r="AK68" i="3"/>
  <c r="W81" i="3"/>
  <c r="AJ83" i="3"/>
  <c r="AK82" i="3"/>
  <c r="AJ40" i="3"/>
  <c r="AJ41" i="3" s="1"/>
  <c r="AC12" i="3"/>
  <c r="AD11" i="3"/>
  <c r="H7" i="10"/>
  <c r="I7" i="10" s="1"/>
  <c r="J7" i="10" s="1"/>
  <c r="K7" i="10" s="1"/>
  <c r="N7" i="10"/>
  <c r="AD67" i="3"/>
  <c r="AC68" i="3"/>
  <c r="L8" i="10"/>
  <c r="M8" i="10" s="1"/>
  <c r="D8" i="10"/>
  <c r="AK11" i="3"/>
  <c r="AJ12" i="3"/>
  <c r="F41" i="30"/>
  <c r="F40" i="30"/>
  <c r="AK26" i="3"/>
  <c r="AJ27" i="3"/>
  <c r="O27" i="3"/>
  <c r="P26" i="3"/>
  <c r="AQ27" i="3"/>
  <c r="AR26" i="3"/>
  <c r="V4" i="11"/>
  <c r="V8" i="11"/>
  <c r="W82" i="3"/>
  <c r="V83" i="3"/>
  <c r="O55" i="3"/>
  <c r="P54" i="3"/>
  <c r="P82" i="3"/>
  <c r="O83" i="3"/>
  <c r="W68" i="3"/>
  <c r="V69" i="3"/>
  <c r="AR68" i="3"/>
  <c r="AQ69" i="3"/>
  <c r="P68" i="3"/>
  <c r="O69" i="3"/>
  <c r="AR12" i="3"/>
  <c r="AQ13" i="3"/>
  <c r="AC27" i="3"/>
  <c r="AD26" i="3"/>
  <c r="AC41" i="3"/>
  <c r="AD40" i="3"/>
  <c r="AC55" i="3"/>
  <c r="AD54" i="3"/>
  <c r="V27" i="3"/>
  <c r="W26" i="3"/>
  <c r="W12" i="3"/>
  <c r="V13" i="3"/>
  <c r="Z77" i="3"/>
  <c r="AG77" i="3"/>
  <c r="L77" i="3"/>
  <c r="S77" i="3"/>
  <c r="E78" i="3"/>
  <c r="AN77" i="3"/>
  <c r="AU77" i="3"/>
  <c r="C94" i="3"/>
  <c r="AI89" i="3"/>
  <c r="BI88" i="3"/>
  <c r="BC50" i="3"/>
  <c r="BC51" i="3" s="1"/>
  <c r="BB50" i="3"/>
  <c r="BB51" i="3" s="1"/>
  <c r="AP88" i="3"/>
  <c r="BJ87" i="3"/>
  <c r="E50" i="3"/>
  <c r="AU49" i="3"/>
  <c r="AN49" i="3"/>
  <c r="S49" i="3"/>
  <c r="AG49" i="3"/>
  <c r="Z49" i="3"/>
  <c r="L49" i="3"/>
  <c r="AB90" i="3"/>
  <c r="BH89" i="3"/>
  <c r="AI33" i="3"/>
  <c r="BI32" i="3"/>
  <c r="BH33" i="3"/>
  <c r="AB34" i="3"/>
  <c r="BJ31" i="3"/>
  <c r="AP32" i="3"/>
  <c r="AU34" i="3"/>
  <c r="AG34" i="3"/>
  <c r="S34" i="3"/>
  <c r="Z34" i="3"/>
  <c r="E35" i="3"/>
  <c r="L34" i="3"/>
  <c r="AN34" i="3"/>
  <c r="Q3" i="11"/>
  <c r="P7" i="11"/>
  <c r="Q36" i="11"/>
  <c r="P37" i="11"/>
  <c r="Q58" i="11"/>
  <c r="P62" i="11"/>
  <c r="L63" i="11"/>
  <c r="K66" i="11"/>
  <c r="Q13" i="11"/>
  <c r="P21" i="11"/>
  <c r="S69" i="11"/>
  <c r="T67" i="11"/>
  <c r="AI74" i="3"/>
  <c r="BI73" i="3"/>
  <c r="AC85" i="3"/>
  <c r="AD84" i="3"/>
  <c r="AP73" i="3"/>
  <c r="BJ72" i="3"/>
  <c r="AG90" i="3"/>
  <c r="AU90" i="3"/>
  <c r="L90" i="3"/>
  <c r="S90" i="3"/>
  <c r="Z90" i="3"/>
  <c r="E91" i="3"/>
  <c r="AN90" i="3"/>
  <c r="AU20" i="3"/>
  <c r="Z20" i="3"/>
  <c r="S20" i="3"/>
  <c r="AG20" i="3"/>
  <c r="E21" i="3"/>
  <c r="AN20" i="3"/>
  <c r="L20" i="3"/>
  <c r="G14" i="8"/>
  <c r="G18" i="8" s="1"/>
  <c r="Q5" i="11"/>
  <c r="Q9" i="11"/>
  <c r="P6" i="11"/>
  <c r="BH74" i="3"/>
  <c r="AB75" i="3"/>
  <c r="AR42" i="3"/>
  <c r="AQ43" i="3"/>
  <c r="AQ57" i="3"/>
  <c r="AR56" i="3"/>
  <c r="E64" i="3"/>
  <c r="AN63" i="3"/>
  <c r="Z63" i="3"/>
  <c r="L63" i="3"/>
  <c r="AU63" i="3"/>
  <c r="S63" i="3"/>
  <c r="AG63" i="3"/>
  <c r="T54" i="11"/>
  <c r="S57" i="11"/>
  <c r="T42" i="11"/>
  <c r="S49" i="11"/>
  <c r="AA76" i="12"/>
  <c r="AD38" i="11"/>
  <c r="AD12" i="11"/>
  <c r="AE50" i="11"/>
  <c r="AE27" i="11"/>
  <c r="T59" i="11"/>
  <c r="T28" i="11"/>
  <c r="S32" i="11"/>
  <c r="T33" i="11"/>
  <c r="S73" i="12"/>
  <c r="R74" i="12"/>
  <c r="R75" i="12" s="1"/>
  <c r="BB64" i="3"/>
  <c r="BB65" i="3" s="1"/>
  <c r="BC64" i="3"/>
  <c r="BC65" i="3" s="1"/>
  <c r="BJ16" i="3"/>
  <c r="AP17" i="3"/>
  <c r="BH47" i="3"/>
  <c r="AB48" i="3"/>
  <c r="BI17" i="3"/>
  <c r="AI18" i="3"/>
  <c r="AB19" i="3"/>
  <c r="BH18" i="3"/>
  <c r="AI47" i="3"/>
  <c r="BI46" i="3"/>
  <c r="AP46" i="3"/>
  <c r="BJ45" i="3"/>
  <c r="AI61" i="3"/>
  <c r="BI60" i="3"/>
  <c r="BH61" i="3"/>
  <c r="AB62" i="3"/>
  <c r="AP60" i="3"/>
  <c r="BJ59" i="3"/>
  <c r="T78" i="3"/>
  <c r="BG78" i="3" s="1"/>
  <c r="BG77" i="3"/>
  <c r="T36" i="3"/>
  <c r="BG36" i="3" s="1"/>
  <c r="BG35" i="3"/>
  <c r="AO92" i="3"/>
  <c r="AH36" i="3"/>
  <c r="AH50" i="3"/>
  <c r="AA22" i="3"/>
  <c r="AH92" i="3"/>
  <c r="BG62" i="3"/>
  <c r="U63" i="3"/>
  <c r="BF91" i="3"/>
  <c r="M92" i="3"/>
  <c r="BF92" i="3" s="1"/>
  <c r="M50" i="3"/>
  <c r="BF50" i="3" s="1"/>
  <c r="BF49" i="3"/>
  <c r="M22" i="3"/>
  <c r="BF22" i="3" s="1"/>
  <c r="BF21" i="3"/>
  <c r="F61" i="7"/>
  <c r="G12" i="7"/>
  <c r="B26" i="10"/>
  <c r="B40" i="10" s="1"/>
  <c r="B13" i="10"/>
  <c r="K14" i="8" l="1"/>
  <c r="W40" i="3"/>
  <c r="AQ83" i="3"/>
  <c r="AR83" i="3" s="1"/>
  <c r="V55" i="3"/>
  <c r="W55" i="3" s="1"/>
  <c r="O13" i="3"/>
  <c r="O14" i="3" s="1"/>
  <c r="AJ71" i="3"/>
  <c r="AK71" i="3" s="1"/>
  <c r="O43" i="3"/>
  <c r="P43" i="3" s="1"/>
  <c r="AK54" i="3"/>
  <c r="AK40" i="3"/>
  <c r="AJ84" i="3"/>
  <c r="AK83" i="3"/>
  <c r="AD12" i="3"/>
  <c r="AC13" i="3"/>
  <c r="BC94" i="3"/>
  <c r="AJ13" i="3"/>
  <c r="AK12" i="3"/>
  <c r="AC69" i="3"/>
  <c r="AD68" i="3"/>
  <c r="C9" i="10"/>
  <c r="E8" i="10"/>
  <c r="H8" i="10" s="1"/>
  <c r="I8" i="10" s="1"/>
  <c r="J8" i="10" s="1"/>
  <c r="K8" i="10" s="1"/>
  <c r="O7" i="10"/>
  <c r="P7" i="10"/>
  <c r="AJ28" i="3"/>
  <c r="AK27" i="3"/>
  <c r="AJ42" i="3"/>
  <c r="AK41" i="3"/>
  <c r="P27" i="3"/>
  <c r="O28" i="3"/>
  <c r="AR27" i="3"/>
  <c r="AQ28" i="3"/>
  <c r="AK55" i="3"/>
  <c r="AJ56" i="3"/>
  <c r="W4" i="11"/>
  <c r="W8" i="11"/>
  <c r="V84" i="3"/>
  <c r="W83" i="3"/>
  <c r="V14" i="3"/>
  <c r="W13" i="3"/>
  <c r="P69" i="3"/>
  <c r="O70" i="3"/>
  <c r="P83" i="3"/>
  <c r="O84" i="3"/>
  <c r="AD55" i="3"/>
  <c r="AC56" i="3"/>
  <c r="V42" i="3"/>
  <c r="W41" i="3"/>
  <c r="AD27" i="3"/>
  <c r="AC28" i="3"/>
  <c r="AR13" i="3"/>
  <c r="AQ14" i="3"/>
  <c r="AR69" i="3"/>
  <c r="AQ70" i="3"/>
  <c r="W69" i="3"/>
  <c r="V70" i="3"/>
  <c r="W27" i="3"/>
  <c r="V28" i="3"/>
  <c r="AC42" i="3"/>
  <c r="AD41" i="3"/>
  <c r="AQ84" i="3"/>
  <c r="P55" i="3"/>
  <c r="O56" i="3"/>
  <c r="AU78" i="3"/>
  <c r="AN78" i="3"/>
  <c r="L78" i="3"/>
  <c r="S78" i="3"/>
  <c r="AG78" i="3"/>
  <c r="Z78" i="3"/>
  <c r="BB94" i="3"/>
  <c r="AG50" i="3"/>
  <c r="Z50" i="3"/>
  <c r="L50" i="3"/>
  <c r="AN50" i="3"/>
  <c r="AU50" i="3"/>
  <c r="S50" i="3"/>
  <c r="BH90" i="3"/>
  <c r="AB91" i="3"/>
  <c r="AP89" i="3"/>
  <c r="BJ88" i="3"/>
  <c r="AI90" i="3"/>
  <c r="BI89" i="3"/>
  <c r="AB35" i="3"/>
  <c r="BH34" i="3"/>
  <c r="BJ32" i="3"/>
  <c r="AP33" i="3"/>
  <c r="AI34" i="3"/>
  <c r="BI33" i="3"/>
  <c r="Z35" i="3"/>
  <c r="S35" i="3"/>
  <c r="AG35" i="3"/>
  <c r="AU35" i="3"/>
  <c r="E36" i="3"/>
  <c r="AN35" i="3"/>
  <c r="L35" i="3"/>
  <c r="P10" i="11"/>
  <c r="R3" i="11"/>
  <c r="Q7" i="11"/>
  <c r="R13" i="11"/>
  <c r="Q21" i="11"/>
  <c r="R58" i="11"/>
  <c r="Q62" i="11"/>
  <c r="M63" i="11"/>
  <c r="L66" i="11"/>
  <c r="R36" i="11"/>
  <c r="Q37" i="11"/>
  <c r="U67" i="11"/>
  <c r="T69" i="11"/>
  <c r="AR43" i="3"/>
  <c r="AQ44" i="3"/>
  <c r="AQ58" i="3"/>
  <c r="AR57" i="3"/>
  <c r="AG64" i="3"/>
  <c r="L64" i="3"/>
  <c r="AN64" i="3"/>
  <c r="AU64" i="3"/>
  <c r="Z64" i="3"/>
  <c r="S64" i="3"/>
  <c r="G62" i="8"/>
  <c r="G22" i="11"/>
  <c r="B22" i="11" s="1"/>
  <c r="AP74" i="3"/>
  <c r="BJ73" i="3"/>
  <c r="AU91" i="3"/>
  <c r="Z91" i="3"/>
  <c r="S91" i="3"/>
  <c r="L91" i="3"/>
  <c r="E92" i="3"/>
  <c r="AG91" i="3"/>
  <c r="AN91" i="3"/>
  <c r="AC86" i="3"/>
  <c r="AD85" i="3"/>
  <c r="AB76" i="3"/>
  <c r="BH75" i="3"/>
  <c r="R9" i="11"/>
  <c r="R5" i="11"/>
  <c r="Q6" i="11"/>
  <c r="AU21" i="3"/>
  <c r="S21" i="3"/>
  <c r="AG21" i="3"/>
  <c r="AN21" i="3"/>
  <c r="Z21" i="3"/>
  <c r="E22" i="3"/>
  <c r="L21" i="3"/>
  <c r="BI74" i="3"/>
  <c r="AI75" i="3"/>
  <c r="R77" i="12"/>
  <c r="S74" i="12"/>
  <c r="S75" i="12" s="1"/>
  <c r="S77" i="12" s="1"/>
  <c r="T73" i="12"/>
  <c r="U33" i="11"/>
  <c r="U28" i="11"/>
  <c r="T32" i="11"/>
  <c r="U59" i="11"/>
  <c r="AF50" i="11"/>
  <c r="AE38" i="11"/>
  <c r="U42" i="11"/>
  <c r="T49" i="11"/>
  <c r="U54" i="11"/>
  <c r="T57" i="11"/>
  <c r="AF27" i="11"/>
  <c r="AE12" i="11"/>
  <c r="AB76" i="12"/>
  <c r="AI19" i="3"/>
  <c r="BI18" i="3"/>
  <c r="AB49" i="3"/>
  <c r="BH48" i="3"/>
  <c r="BJ17" i="3"/>
  <c r="AP18" i="3"/>
  <c r="AP47" i="3"/>
  <c r="BJ46" i="3"/>
  <c r="AI48" i="3"/>
  <c r="BI47" i="3"/>
  <c r="AB20" i="3"/>
  <c r="BH19" i="3"/>
  <c r="BH62" i="3"/>
  <c r="AB63" i="3"/>
  <c r="AP61" i="3"/>
  <c r="BJ60" i="3"/>
  <c r="AI62" i="3"/>
  <c r="BI61" i="3"/>
  <c r="BG63" i="3"/>
  <c r="U64" i="3"/>
  <c r="BG64" i="3" s="1"/>
  <c r="B27" i="10"/>
  <c r="B41" i="10" s="1"/>
  <c r="B14" i="10"/>
  <c r="F59" i="7"/>
  <c r="G13" i="7"/>
  <c r="G14" i="7" s="1"/>
  <c r="F63" i="7"/>
  <c r="K18" i="8" l="1"/>
  <c r="K62" i="8" s="1"/>
  <c r="K54" i="1" s="1"/>
  <c r="O44" i="3"/>
  <c r="O45" i="3" s="1"/>
  <c r="V56" i="3"/>
  <c r="V57" i="3" s="1"/>
  <c r="AJ72" i="3"/>
  <c r="AK72" i="3" s="1"/>
  <c r="P13" i="3"/>
  <c r="AJ85" i="3"/>
  <c r="AK84" i="3"/>
  <c r="AD13" i="3"/>
  <c r="AC14" i="3"/>
  <c r="N8" i="10"/>
  <c r="O8" i="10" s="1"/>
  <c r="B22" i="12"/>
  <c r="AY22" i="12"/>
  <c r="AY24" i="12" s="1"/>
  <c r="R22" i="12"/>
  <c r="R24" i="12" s="1"/>
  <c r="Y22" i="12"/>
  <c r="Y24" i="12" s="1"/>
  <c r="AV22" i="12"/>
  <c r="AV24" i="12" s="1"/>
  <c r="G22" i="12"/>
  <c r="G24" i="12" s="1"/>
  <c r="Z22" i="12"/>
  <c r="Z24" i="12" s="1"/>
  <c r="AS22" i="12"/>
  <c r="AS24" i="12" s="1"/>
  <c r="L22" i="12"/>
  <c r="L24" i="12" s="1"/>
  <c r="W22" i="12"/>
  <c r="W24" i="12" s="1"/>
  <c r="AT22" i="12"/>
  <c r="AT24" i="12" s="1"/>
  <c r="I22" i="12"/>
  <c r="I24" i="12" s="1"/>
  <c r="AF22" i="12"/>
  <c r="AF24" i="12" s="1"/>
  <c r="Q22" i="12"/>
  <c r="Q24" i="12" s="1"/>
  <c r="AW22" i="12"/>
  <c r="AW24" i="12" s="1"/>
  <c r="AJ22" i="12"/>
  <c r="AJ24" i="12" s="1"/>
  <c r="AG22" i="12"/>
  <c r="AG24" i="12" s="1"/>
  <c r="T22" i="12"/>
  <c r="T24" i="12" s="1"/>
  <c r="H22" i="12"/>
  <c r="H24" i="12" s="1"/>
  <c r="AR22" i="12"/>
  <c r="AR24" i="12" s="1"/>
  <c r="N22" i="12"/>
  <c r="N24" i="12" s="1"/>
  <c r="J22" i="12"/>
  <c r="J24" i="12" s="1"/>
  <c r="AI22" i="12"/>
  <c r="AI24" i="12" s="1"/>
  <c r="S22" i="12"/>
  <c r="S24" i="12" s="1"/>
  <c r="AX22" i="12"/>
  <c r="AX24" i="12" s="1"/>
  <c r="P22" i="12"/>
  <c r="P24" i="12" s="1"/>
  <c r="M22" i="12"/>
  <c r="M24" i="12" s="1"/>
  <c r="AE22" i="12"/>
  <c r="AE24" i="12" s="1"/>
  <c r="AD22" i="12"/>
  <c r="AD24" i="12" s="1"/>
  <c r="AK22" i="12"/>
  <c r="AK24" i="12" s="1"/>
  <c r="D22" i="12"/>
  <c r="D24" i="12" s="1"/>
  <c r="AA22" i="12"/>
  <c r="AA24" i="12" s="1"/>
  <c r="AL22" i="12"/>
  <c r="AL24" i="12" s="1"/>
  <c r="X22" i="12"/>
  <c r="X24" i="12" s="1"/>
  <c r="AQ22" i="12"/>
  <c r="AQ24" i="12" s="1"/>
  <c r="U22" i="12"/>
  <c r="U24" i="12" s="1"/>
  <c r="AZ22" i="12"/>
  <c r="AZ24" i="12" s="1"/>
  <c r="AC22" i="12"/>
  <c r="AC24" i="12" s="1"/>
  <c r="V22" i="12"/>
  <c r="V24" i="12" s="1"/>
  <c r="K22" i="12"/>
  <c r="K24" i="12" s="1"/>
  <c r="AB22" i="12"/>
  <c r="AB24" i="12" s="1"/>
  <c r="E22" i="12"/>
  <c r="E24" i="12" s="1"/>
  <c r="F22" i="12"/>
  <c r="F24" i="12" s="1"/>
  <c r="AH22" i="12"/>
  <c r="AH24" i="12" s="1"/>
  <c r="AM22" i="12"/>
  <c r="AM24" i="12" s="1"/>
  <c r="AP22" i="12"/>
  <c r="AP24" i="12" s="1"/>
  <c r="AN22" i="12"/>
  <c r="AN24" i="12" s="1"/>
  <c r="AU22" i="12"/>
  <c r="AU24" i="12" s="1"/>
  <c r="AO22" i="12"/>
  <c r="AO24" i="12" s="1"/>
  <c r="O22" i="12"/>
  <c r="O24" i="12" s="1"/>
  <c r="B23" i="12"/>
  <c r="V23" i="12"/>
  <c r="E23" i="12"/>
  <c r="AI23" i="12"/>
  <c r="AN23" i="12"/>
  <c r="AC23" i="12"/>
  <c r="AD23" i="12"/>
  <c r="H23" i="12"/>
  <c r="W23" i="12"/>
  <c r="Q23" i="12"/>
  <c r="AO23" i="12"/>
  <c r="AM23" i="12"/>
  <c r="F23" i="12"/>
  <c r="S23" i="12"/>
  <c r="AP23" i="12"/>
  <c r="AE23" i="12"/>
  <c r="AU23" i="12"/>
  <c r="J23" i="12"/>
  <c r="X23" i="12"/>
  <c r="AF23" i="12"/>
  <c r="AG23" i="12"/>
  <c r="K23" i="12"/>
  <c r="Y23" i="12"/>
  <c r="AT23" i="12"/>
  <c r="AJ23" i="12"/>
  <c r="D23" i="12"/>
  <c r="AA23" i="12"/>
  <c r="AZ23" i="12"/>
  <c r="AL23" i="12"/>
  <c r="U23" i="12"/>
  <c r="P23" i="12"/>
  <c r="AY23" i="12"/>
  <c r="M23" i="12"/>
  <c r="N23" i="12"/>
  <c r="AW23" i="12"/>
  <c r="G23" i="12"/>
  <c r="AX23" i="12"/>
  <c r="AB23" i="12"/>
  <c r="AQ23" i="12"/>
  <c r="Z23" i="12"/>
  <c r="AV23" i="12"/>
  <c r="T23" i="12"/>
  <c r="I23" i="12"/>
  <c r="AS23" i="12"/>
  <c r="AK23" i="12"/>
  <c r="R23" i="12"/>
  <c r="AH23" i="12"/>
  <c r="L23" i="12"/>
  <c r="O23" i="12"/>
  <c r="AR23" i="12"/>
  <c r="AD69" i="3"/>
  <c r="AC70" i="3"/>
  <c r="D9" i="10"/>
  <c r="L9" i="10"/>
  <c r="M9" i="10" s="1"/>
  <c r="AJ14" i="3"/>
  <c r="AK13" i="3"/>
  <c r="AJ43" i="3"/>
  <c r="AK42" i="3"/>
  <c r="AJ29" i="3"/>
  <c r="AK28" i="3"/>
  <c r="AJ57" i="3"/>
  <c r="AK56" i="3"/>
  <c r="O29" i="3"/>
  <c r="P28" i="3"/>
  <c r="AQ29" i="3"/>
  <c r="AR28" i="3"/>
  <c r="X4" i="11"/>
  <c r="X8" i="11"/>
  <c r="W84" i="3"/>
  <c r="V85" i="3"/>
  <c r="P56" i="3"/>
  <c r="O57" i="3"/>
  <c r="W70" i="3"/>
  <c r="V71" i="3"/>
  <c r="AQ15" i="3"/>
  <c r="AR14" i="3"/>
  <c r="AD28" i="3"/>
  <c r="AC29" i="3"/>
  <c r="AC57" i="3"/>
  <c r="AD56" i="3"/>
  <c r="O71" i="3"/>
  <c r="P70" i="3"/>
  <c r="AD42" i="3"/>
  <c r="AC43" i="3"/>
  <c r="W28" i="3"/>
  <c r="V29" i="3"/>
  <c r="AR70" i="3"/>
  <c r="AQ71" i="3"/>
  <c r="P84" i="3"/>
  <c r="O85" i="3"/>
  <c r="AQ85" i="3"/>
  <c r="AR84" i="3"/>
  <c r="P14" i="3"/>
  <c r="O15" i="3"/>
  <c r="V43" i="3"/>
  <c r="W42" i="3"/>
  <c r="V15" i="3"/>
  <c r="W14" i="3"/>
  <c r="AP90" i="3"/>
  <c r="BJ89" i="3"/>
  <c r="AI91" i="3"/>
  <c r="BI90" i="3"/>
  <c r="AB92" i="3"/>
  <c r="BH92" i="3" s="1"/>
  <c r="BH91" i="3"/>
  <c r="AI35" i="3"/>
  <c r="BI34" i="3"/>
  <c r="BJ33" i="3"/>
  <c r="AP34" i="3"/>
  <c r="AB36" i="3"/>
  <c r="BH36" i="3" s="1"/>
  <c r="BH35" i="3"/>
  <c r="AU36" i="3"/>
  <c r="Z36" i="3"/>
  <c r="AG36" i="3"/>
  <c r="L36" i="3"/>
  <c r="S36" i="3"/>
  <c r="AN36" i="3"/>
  <c r="Q10" i="11"/>
  <c r="S3" i="11"/>
  <c r="R7" i="11"/>
  <c r="S36" i="11"/>
  <c r="R37" i="11"/>
  <c r="S58" i="11"/>
  <c r="R62" i="11"/>
  <c r="M66" i="11"/>
  <c r="N63" i="11"/>
  <c r="S13" i="11"/>
  <c r="R21" i="11"/>
  <c r="V67" i="11"/>
  <c r="U69" i="11"/>
  <c r="Z22" i="3"/>
  <c r="AG22" i="3"/>
  <c r="L22" i="3"/>
  <c r="AU22" i="3"/>
  <c r="S22" i="3"/>
  <c r="AN22" i="3"/>
  <c r="U37" i="9"/>
  <c r="Q37" i="9" s="1"/>
  <c r="F10" i="6"/>
  <c r="G64" i="8"/>
  <c r="AI76" i="3"/>
  <c r="BI75" i="3"/>
  <c r="AQ59" i="3"/>
  <c r="AR58" i="3"/>
  <c r="BH76" i="3"/>
  <c r="AB77" i="3"/>
  <c r="S92" i="3"/>
  <c r="AN92" i="3"/>
  <c r="AU92" i="3"/>
  <c r="Z92" i="3"/>
  <c r="AG92" i="3"/>
  <c r="L92" i="3"/>
  <c r="BJ74" i="3"/>
  <c r="AP75" i="3"/>
  <c r="AR44" i="3"/>
  <c r="AQ45" i="3"/>
  <c r="S9" i="11"/>
  <c r="S5" i="11"/>
  <c r="R6" i="11"/>
  <c r="AC87" i="3"/>
  <c r="AD86" i="3"/>
  <c r="G26" i="11"/>
  <c r="H22" i="11"/>
  <c r="AF12" i="11"/>
  <c r="V54" i="11"/>
  <c r="U57" i="11"/>
  <c r="V42" i="11"/>
  <c r="U49" i="11"/>
  <c r="AF38" i="11"/>
  <c r="AG50" i="11"/>
  <c r="V59" i="11"/>
  <c r="V28" i="11"/>
  <c r="U32" i="11"/>
  <c r="V33" i="11"/>
  <c r="AC76" i="12"/>
  <c r="AG27" i="11"/>
  <c r="T74" i="12"/>
  <c r="T75" i="12" s="1"/>
  <c r="T77" i="12" s="1"/>
  <c r="U73" i="12"/>
  <c r="AP19" i="3"/>
  <c r="BJ18" i="3"/>
  <c r="AB21" i="3"/>
  <c r="BH20" i="3"/>
  <c r="AI49" i="3"/>
  <c r="BI48" i="3"/>
  <c r="AP48" i="3"/>
  <c r="BJ47" i="3"/>
  <c r="BH49" i="3"/>
  <c r="AB50" i="3"/>
  <c r="BH50" i="3" s="1"/>
  <c r="AI20" i="3"/>
  <c r="BI19" i="3"/>
  <c r="AB64" i="3"/>
  <c r="BH64" i="3" s="1"/>
  <c r="BH63" i="3"/>
  <c r="AI63" i="3"/>
  <c r="BI62" i="3"/>
  <c r="AP62" i="3"/>
  <c r="BJ61" i="3"/>
  <c r="G15" i="7"/>
  <c r="F58" i="7"/>
  <c r="B28" i="10"/>
  <c r="B42" i="10" s="1"/>
  <c r="B15" i="10"/>
  <c r="B29" i="10" s="1"/>
  <c r="B43" i="10" s="1"/>
  <c r="AJ73" i="3" l="1"/>
  <c r="AK73" i="3" s="1"/>
  <c r="W56" i="3"/>
  <c r="P44" i="3"/>
  <c r="AJ86" i="3"/>
  <c r="AK85" i="3"/>
  <c r="P8" i="10"/>
  <c r="AD14" i="3"/>
  <c r="AC15" i="3"/>
  <c r="AO35" i="12"/>
  <c r="AO36" i="12" s="1"/>
  <c r="AO25" i="12"/>
  <c r="AM25" i="12"/>
  <c r="AM35" i="12"/>
  <c r="AM36" i="12" s="1"/>
  <c r="AZ25" i="12"/>
  <c r="AZ35" i="12"/>
  <c r="AZ36" i="12" s="1"/>
  <c r="AD25" i="12"/>
  <c r="AD35" i="12"/>
  <c r="AD36" i="12" s="1"/>
  <c r="N35" i="12"/>
  <c r="N36" i="12" s="1"/>
  <c r="N25" i="12"/>
  <c r="AG25" i="12"/>
  <c r="AG35" i="12"/>
  <c r="AG36" i="12" s="1"/>
  <c r="AF25" i="12"/>
  <c r="AF35" i="12"/>
  <c r="AF36" i="12" s="1"/>
  <c r="AV25" i="12"/>
  <c r="AV35" i="12"/>
  <c r="AV36" i="12" s="1"/>
  <c r="AU25" i="12"/>
  <c r="AU35" i="12"/>
  <c r="AU36" i="12" s="1"/>
  <c r="AH25" i="12"/>
  <c r="AH35" i="12"/>
  <c r="AH36" i="12" s="1"/>
  <c r="K35" i="12"/>
  <c r="K36" i="12" s="1"/>
  <c r="K25" i="12"/>
  <c r="U35" i="12"/>
  <c r="U36" i="12" s="1"/>
  <c r="U25" i="12"/>
  <c r="AA35" i="12"/>
  <c r="AA36" i="12" s="1"/>
  <c r="AA25" i="12"/>
  <c r="AE25" i="12"/>
  <c r="AE35" i="12"/>
  <c r="AE36" i="12" s="1"/>
  <c r="S25" i="12"/>
  <c r="S35" i="12"/>
  <c r="S36" i="12" s="1"/>
  <c r="AR25" i="12"/>
  <c r="AR35" i="12"/>
  <c r="AR36" i="12" s="1"/>
  <c r="AJ35" i="12"/>
  <c r="AJ36" i="12" s="1"/>
  <c r="AJ25" i="12"/>
  <c r="I25" i="12"/>
  <c r="I35" i="12"/>
  <c r="I36" i="12" s="1"/>
  <c r="AS35" i="12"/>
  <c r="AS36" i="12" s="1"/>
  <c r="AS25" i="12"/>
  <c r="Y35" i="12"/>
  <c r="Y36" i="12" s="1"/>
  <c r="Y25" i="12"/>
  <c r="C23" i="12"/>
  <c r="F35" i="12"/>
  <c r="F36" i="12" s="1"/>
  <c r="F25" i="12"/>
  <c r="AQ35" i="12"/>
  <c r="AQ36" i="12" s="1"/>
  <c r="AQ25" i="12"/>
  <c r="D25" i="12"/>
  <c r="D35" i="12"/>
  <c r="D36" i="12" s="1"/>
  <c r="M35" i="12"/>
  <c r="M36" i="12" s="1"/>
  <c r="M25" i="12"/>
  <c r="H35" i="12"/>
  <c r="H36" i="12" s="1"/>
  <c r="H25" i="12"/>
  <c r="AW35" i="12"/>
  <c r="AW36" i="12" s="1"/>
  <c r="AW25" i="12"/>
  <c r="AT35" i="12"/>
  <c r="AT36" i="12" s="1"/>
  <c r="AT25" i="12"/>
  <c r="Z35" i="12"/>
  <c r="Z36" i="12" s="1"/>
  <c r="Z25" i="12"/>
  <c r="R35" i="12"/>
  <c r="R36" i="12" s="1"/>
  <c r="R25" i="12"/>
  <c r="AN35" i="12"/>
  <c r="AN36" i="12" s="1"/>
  <c r="AN25" i="12"/>
  <c r="V35" i="12"/>
  <c r="V36" i="12" s="1"/>
  <c r="V25" i="12"/>
  <c r="AI25" i="12"/>
  <c r="AI35" i="12"/>
  <c r="AI36" i="12" s="1"/>
  <c r="O35" i="12"/>
  <c r="O36" i="12" s="1"/>
  <c r="O25" i="12"/>
  <c r="AP25" i="12"/>
  <c r="AP35" i="12"/>
  <c r="AP36" i="12" s="1"/>
  <c r="E25" i="12"/>
  <c r="E35" i="12"/>
  <c r="E36" i="12" s="1"/>
  <c r="AC25" i="12"/>
  <c r="AC35" i="12"/>
  <c r="AC36" i="12" s="1"/>
  <c r="X35" i="12"/>
  <c r="X36" i="12" s="1"/>
  <c r="X25" i="12"/>
  <c r="AK25" i="12"/>
  <c r="AK35" i="12"/>
  <c r="AK36" i="12" s="1"/>
  <c r="P25" i="12"/>
  <c r="P35" i="12"/>
  <c r="P36" i="12" s="1"/>
  <c r="J35" i="12"/>
  <c r="J36" i="12" s="1"/>
  <c r="J25" i="12"/>
  <c r="T25" i="12"/>
  <c r="T35" i="12"/>
  <c r="T36" i="12" s="1"/>
  <c r="Q35" i="12"/>
  <c r="Q36" i="12" s="1"/>
  <c r="Q25" i="12"/>
  <c r="W35" i="12"/>
  <c r="W36" i="12" s="1"/>
  <c r="W25" i="12"/>
  <c r="G35" i="12"/>
  <c r="G36" i="12" s="1"/>
  <c r="G25" i="12"/>
  <c r="AY25" i="12"/>
  <c r="AY35" i="12"/>
  <c r="AY36" i="12" s="1"/>
  <c r="AB35" i="12"/>
  <c r="AB36" i="12" s="1"/>
  <c r="AB25" i="12"/>
  <c r="AL35" i="12"/>
  <c r="AL36" i="12" s="1"/>
  <c r="AL25" i="12"/>
  <c r="AX25" i="12"/>
  <c r="AX35" i="12"/>
  <c r="AX36" i="12" s="1"/>
  <c r="L35" i="12"/>
  <c r="L36" i="12" s="1"/>
  <c r="L25" i="12"/>
  <c r="C22" i="12"/>
  <c r="AC71" i="3"/>
  <c r="AD70" i="3"/>
  <c r="AK14" i="3"/>
  <c r="AJ15" i="3"/>
  <c r="C10" i="10"/>
  <c r="E9" i="10"/>
  <c r="G70" i="11"/>
  <c r="B26" i="11"/>
  <c r="B70" i="11" s="1"/>
  <c r="AJ30" i="3"/>
  <c r="AK29" i="3"/>
  <c r="AJ44" i="3"/>
  <c r="AK43" i="3"/>
  <c r="W57" i="3"/>
  <c r="V58" i="3"/>
  <c r="O30" i="3"/>
  <c r="P29" i="3"/>
  <c r="AR29" i="3"/>
  <c r="AQ30" i="3"/>
  <c r="AJ58" i="3"/>
  <c r="AK57" i="3"/>
  <c r="Y4" i="11"/>
  <c r="Y8" i="11"/>
  <c r="W85" i="3"/>
  <c r="V86" i="3"/>
  <c r="V16" i="3"/>
  <c r="W15" i="3"/>
  <c r="P71" i="3"/>
  <c r="O72" i="3"/>
  <c r="AR71" i="3"/>
  <c r="AQ72" i="3"/>
  <c r="AC44" i="3"/>
  <c r="AD43" i="3"/>
  <c r="P57" i="3"/>
  <c r="O58" i="3"/>
  <c r="V44" i="3"/>
  <c r="W43" i="3"/>
  <c r="AQ86" i="3"/>
  <c r="AR85" i="3"/>
  <c r="AC58" i="3"/>
  <c r="AD57" i="3"/>
  <c r="AQ16" i="3"/>
  <c r="AR15" i="3"/>
  <c r="P15" i="3"/>
  <c r="O16" i="3"/>
  <c r="O86" i="3"/>
  <c r="P85" i="3"/>
  <c r="W29" i="3"/>
  <c r="V30" i="3"/>
  <c r="AC30" i="3"/>
  <c r="AD29" i="3"/>
  <c r="V72" i="3"/>
  <c r="W71" i="3"/>
  <c r="AI92" i="3"/>
  <c r="BI92" i="3" s="1"/>
  <c r="BI91" i="3"/>
  <c r="AP91" i="3"/>
  <c r="BJ90" i="3"/>
  <c r="AI36" i="3"/>
  <c r="BI36" i="3" s="1"/>
  <c r="BI35" i="3"/>
  <c r="AP35" i="3"/>
  <c r="BJ34" i="3"/>
  <c r="R10" i="11"/>
  <c r="S7" i="11"/>
  <c r="T3" i="11"/>
  <c r="T13" i="11"/>
  <c r="S21" i="11"/>
  <c r="T58" i="11"/>
  <c r="S62" i="11"/>
  <c r="O63" i="11"/>
  <c r="N66" i="11"/>
  <c r="T36" i="11"/>
  <c r="S37" i="11"/>
  <c r="W67" i="11"/>
  <c r="V69" i="11"/>
  <c r="I22" i="11"/>
  <c r="H26" i="11"/>
  <c r="H70" i="11" s="1"/>
  <c r="H72" i="11" s="1"/>
  <c r="BH77" i="3"/>
  <c r="AB78" i="3"/>
  <c r="BH78" i="3" s="1"/>
  <c r="F11" i="6"/>
  <c r="F12" i="6" s="1"/>
  <c r="F42" i="30"/>
  <c r="BJ75" i="3"/>
  <c r="AP76" i="3"/>
  <c r="AQ60" i="3"/>
  <c r="AR59" i="3"/>
  <c r="AI77" i="3"/>
  <c r="BI76" i="3"/>
  <c r="S37" i="9"/>
  <c r="U38" i="9"/>
  <c r="Q38" i="9" s="1"/>
  <c r="P45" i="3"/>
  <c r="O46" i="3"/>
  <c r="AD87" i="3"/>
  <c r="AC88" i="3"/>
  <c r="T5" i="11"/>
  <c r="T9" i="11"/>
  <c r="S6" i="11"/>
  <c r="AQ46" i="3"/>
  <c r="AR45" i="3"/>
  <c r="U74" i="12"/>
  <c r="U75" i="12" s="1"/>
  <c r="U77" i="12" s="1"/>
  <c r="V73" i="12"/>
  <c r="AH27" i="11"/>
  <c r="AD76" i="12"/>
  <c r="W33" i="11"/>
  <c r="W28" i="11"/>
  <c r="V32" i="11"/>
  <c r="W59" i="11"/>
  <c r="AH50" i="11"/>
  <c r="AG38" i="11"/>
  <c r="W42" i="11"/>
  <c r="V49" i="11"/>
  <c r="W54" i="11"/>
  <c r="V57" i="11"/>
  <c r="AG12" i="11"/>
  <c r="AI21" i="3"/>
  <c r="BI20" i="3"/>
  <c r="BJ48" i="3"/>
  <c r="AP49" i="3"/>
  <c r="AI50" i="3"/>
  <c r="BI50" i="3" s="1"/>
  <c r="BI49" i="3"/>
  <c r="AB22" i="3"/>
  <c r="BH22" i="3" s="1"/>
  <c r="BH21" i="3"/>
  <c r="AP20" i="3"/>
  <c r="BJ19" i="3"/>
  <c r="BJ62" i="3"/>
  <c r="AP63" i="3"/>
  <c r="AI64" i="3"/>
  <c r="BI64" i="3" s="1"/>
  <c r="BI63" i="3"/>
  <c r="G16" i="7"/>
  <c r="F62" i="7"/>
  <c r="G72" i="11" l="1"/>
  <c r="J42" i="37"/>
  <c r="J43" i="37" s="1"/>
  <c r="AJ74" i="3"/>
  <c r="AK74" i="3" s="1"/>
  <c r="C24" i="12"/>
  <c r="C35" i="12" s="1"/>
  <c r="C36" i="12" s="1"/>
  <c r="C43" i="12" s="1"/>
  <c r="C45" i="12" s="1"/>
  <c r="AJ87" i="3"/>
  <c r="AK86" i="3"/>
  <c r="AD15" i="3"/>
  <c r="AC16" i="3"/>
  <c r="L43" i="12"/>
  <c r="L45" i="12" s="1"/>
  <c r="L56" i="12"/>
  <c r="AB56" i="12"/>
  <c r="AB43" i="12"/>
  <c r="AB45" i="12" s="1"/>
  <c r="G56" i="12"/>
  <c r="G43" i="12"/>
  <c r="G45" i="12" s="1"/>
  <c r="Q43" i="12"/>
  <c r="Q45" i="12" s="1"/>
  <c r="Q56" i="12"/>
  <c r="J43" i="12"/>
  <c r="J45" i="12" s="1"/>
  <c r="J56" i="12"/>
  <c r="AN43" i="12"/>
  <c r="AN45" i="12" s="1"/>
  <c r="AN56" i="12"/>
  <c r="Z43" i="12"/>
  <c r="Z45" i="12" s="1"/>
  <c r="Z56" i="12"/>
  <c r="AW56" i="12"/>
  <c r="AW43" i="12"/>
  <c r="AW45" i="12" s="1"/>
  <c r="M43" i="12"/>
  <c r="M45" i="12" s="1"/>
  <c r="M56" i="12"/>
  <c r="AQ43" i="12"/>
  <c r="AQ45" i="12" s="1"/>
  <c r="AQ56" i="12"/>
  <c r="I43" i="12"/>
  <c r="I45" i="12" s="1"/>
  <c r="I56" i="12"/>
  <c r="AR43" i="12"/>
  <c r="AR45" i="12" s="1"/>
  <c r="AR56" i="12"/>
  <c r="AE43" i="12"/>
  <c r="AE45" i="12" s="1"/>
  <c r="AE56" i="12"/>
  <c r="AH43" i="12"/>
  <c r="AH45" i="12" s="1"/>
  <c r="AH56" i="12"/>
  <c r="AV56" i="12"/>
  <c r="AV43" i="12"/>
  <c r="AV45" i="12" s="1"/>
  <c r="AG56" i="12"/>
  <c r="AG43" i="12"/>
  <c r="AG45" i="12" s="1"/>
  <c r="AD56" i="12"/>
  <c r="AD43" i="12"/>
  <c r="AD45" i="12" s="1"/>
  <c r="AM43" i="12"/>
  <c r="AM45" i="12" s="1"/>
  <c r="AM56" i="12"/>
  <c r="AY43" i="12"/>
  <c r="AY45" i="12" s="1"/>
  <c r="AY56" i="12"/>
  <c r="T43" i="12"/>
  <c r="T45" i="12" s="1"/>
  <c r="T56" i="12"/>
  <c r="P43" i="12"/>
  <c r="P45" i="12" s="1"/>
  <c r="P56" i="12"/>
  <c r="E56" i="12"/>
  <c r="E43" i="12"/>
  <c r="E45" i="12" s="1"/>
  <c r="D56" i="12"/>
  <c r="D43" i="12"/>
  <c r="D45" i="12" s="1"/>
  <c r="Y43" i="12"/>
  <c r="Y45" i="12" s="1"/>
  <c r="Y56" i="12"/>
  <c r="U56" i="12"/>
  <c r="U43" i="12"/>
  <c r="U45" i="12" s="1"/>
  <c r="W56" i="12"/>
  <c r="W43" i="12"/>
  <c r="W45" i="12" s="1"/>
  <c r="O56" i="12"/>
  <c r="O43" i="12"/>
  <c r="O45" i="12" s="1"/>
  <c r="V43" i="12"/>
  <c r="V45" i="12" s="1"/>
  <c r="V56" i="12"/>
  <c r="R43" i="12"/>
  <c r="R45" i="12" s="1"/>
  <c r="R56" i="12"/>
  <c r="AT43" i="12"/>
  <c r="AT45" i="12" s="1"/>
  <c r="AT56" i="12"/>
  <c r="H43" i="12"/>
  <c r="H45" i="12" s="1"/>
  <c r="H56" i="12"/>
  <c r="F56" i="12"/>
  <c r="F43" i="12"/>
  <c r="F45" i="12" s="1"/>
  <c r="S43" i="12"/>
  <c r="S45" i="12" s="1"/>
  <c r="S56" i="12"/>
  <c r="AU43" i="12"/>
  <c r="AU45" i="12" s="1"/>
  <c r="AU56" i="12"/>
  <c r="AF43" i="12"/>
  <c r="AF45" i="12" s="1"/>
  <c r="AF56" i="12"/>
  <c r="AZ56" i="12"/>
  <c r="AZ43" i="12"/>
  <c r="AZ45" i="12" s="1"/>
  <c r="AL56" i="12"/>
  <c r="AL43" i="12"/>
  <c r="AL45" i="12" s="1"/>
  <c r="X43" i="12"/>
  <c r="X45" i="12" s="1"/>
  <c r="X56" i="12"/>
  <c r="AX43" i="12"/>
  <c r="AX45" i="12" s="1"/>
  <c r="AX56" i="12"/>
  <c r="AK43" i="12"/>
  <c r="AK45" i="12" s="1"/>
  <c r="AK56" i="12"/>
  <c r="AC43" i="12"/>
  <c r="AC45" i="12" s="1"/>
  <c r="AC56" i="12"/>
  <c r="AP56" i="12"/>
  <c r="AP43" i="12"/>
  <c r="AP45" i="12" s="1"/>
  <c r="AI56" i="12"/>
  <c r="AI43" i="12"/>
  <c r="AI45" i="12" s="1"/>
  <c r="AS56" i="12"/>
  <c r="AS43" i="12"/>
  <c r="AS45" i="12" s="1"/>
  <c r="AJ43" i="12"/>
  <c r="AJ45" i="12" s="1"/>
  <c r="AJ56" i="12"/>
  <c r="AA43" i="12"/>
  <c r="AA45" i="12" s="1"/>
  <c r="AA56" i="12"/>
  <c r="K43" i="12"/>
  <c r="K45" i="12" s="1"/>
  <c r="K56" i="12"/>
  <c r="N43" i="12"/>
  <c r="N45" i="12" s="1"/>
  <c r="N56" i="12"/>
  <c r="AO43" i="12"/>
  <c r="AO45" i="12" s="1"/>
  <c r="AO56" i="12"/>
  <c r="AJ16" i="3"/>
  <c r="AK15" i="3"/>
  <c r="H9" i="10"/>
  <c r="I9" i="10" s="1"/>
  <c r="J9" i="10" s="1"/>
  <c r="K9" i="10" s="1"/>
  <c r="N9" i="10"/>
  <c r="L10" i="10"/>
  <c r="M10" i="10" s="1"/>
  <c r="D10" i="10"/>
  <c r="C11" i="10" s="1"/>
  <c r="L11" i="10" s="1"/>
  <c r="AC72" i="3"/>
  <c r="AD71" i="3"/>
  <c r="F44" i="30"/>
  <c r="F43" i="30"/>
  <c r="AJ45" i="3"/>
  <c r="AK44" i="3"/>
  <c r="AJ31" i="3"/>
  <c r="AK30" i="3"/>
  <c r="V59" i="3"/>
  <c r="W58" i="3"/>
  <c r="AQ31" i="3"/>
  <c r="AR30" i="3"/>
  <c r="AJ59" i="3"/>
  <c r="AK58" i="3"/>
  <c r="O31" i="3"/>
  <c r="P30" i="3"/>
  <c r="Z4" i="11"/>
  <c r="Z8" i="11"/>
  <c r="V87" i="3"/>
  <c r="W86" i="3"/>
  <c r="AC31" i="3"/>
  <c r="AD30" i="3"/>
  <c r="AR16" i="3"/>
  <c r="AQ17" i="3"/>
  <c r="W30" i="3"/>
  <c r="V31" i="3"/>
  <c r="O17" i="3"/>
  <c r="P16" i="3"/>
  <c r="P72" i="3"/>
  <c r="O73" i="3"/>
  <c r="W72" i="3"/>
  <c r="V73" i="3"/>
  <c r="AC59" i="3"/>
  <c r="AD58" i="3"/>
  <c r="V45" i="3"/>
  <c r="W44" i="3"/>
  <c r="AC45" i="3"/>
  <c r="AD44" i="3"/>
  <c r="O59" i="3"/>
  <c r="P58" i="3"/>
  <c r="AR72" i="3"/>
  <c r="AQ73" i="3"/>
  <c r="O87" i="3"/>
  <c r="P86" i="3"/>
  <c r="AR86" i="3"/>
  <c r="AQ87" i="3"/>
  <c r="W16" i="3"/>
  <c r="V17" i="3"/>
  <c r="AP92" i="3"/>
  <c r="BJ92" i="3" s="1"/>
  <c r="BJ91" i="3"/>
  <c r="AP36" i="3"/>
  <c r="BJ36" i="3" s="1"/>
  <c r="BJ35" i="3"/>
  <c r="S10" i="11"/>
  <c r="T7" i="11"/>
  <c r="U3" i="11"/>
  <c r="U36" i="11"/>
  <c r="T37" i="11"/>
  <c r="U58" i="11"/>
  <c r="T62" i="11"/>
  <c r="P63" i="11"/>
  <c r="O66" i="11"/>
  <c r="T21" i="11"/>
  <c r="U13" i="11"/>
  <c r="W69" i="11"/>
  <c r="X67" i="11"/>
  <c r="AC89" i="3"/>
  <c r="AD88" i="3"/>
  <c r="AQ47" i="3"/>
  <c r="AR46" i="3"/>
  <c r="BI77" i="3"/>
  <c r="AI78" i="3"/>
  <c r="BI78" i="3" s="1"/>
  <c r="AR60" i="3"/>
  <c r="AQ61" i="3"/>
  <c r="U5" i="11"/>
  <c r="U9" i="11"/>
  <c r="T6" i="11"/>
  <c r="O47" i="3"/>
  <c r="P46" i="3"/>
  <c r="S38" i="9"/>
  <c r="D3" i="7"/>
  <c r="E5" i="2" s="1"/>
  <c r="D5" i="2" s="1"/>
  <c r="G5" i="2" s="1"/>
  <c r="BJ76" i="3"/>
  <c r="AP77" i="3"/>
  <c r="I26" i="11"/>
  <c r="I70" i="11" s="1"/>
  <c r="I72" i="11" s="1"/>
  <c r="J22" i="11"/>
  <c r="AI50" i="11"/>
  <c r="AE76" i="12"/>
  <c r="W73" i="12"/>
  <c r="V74" i="12"/>
  <c r="V75" i="12" s="1"/>
  <c r="V77" i="12" s="1"/>
  <c r="AH12" i="11"/>
  <c r="X54" i="11"/>
  <c r="W57" i="11"/>
  <c r="X42" i="11"/>
  <c r="W49" i="11"/>
  <c r="AH38" i="11"/>
  <c r="X59" i="11"/>
  <c r="X28" i="11"/>
  <c r="W32" i="11"/>
  <c r="X33" i="11"/>
  <c r="AI27" i="11"/>
  <c r="AP50" i="3"/>
  <c r="BJ50" i="3" s="1"/>
  <c r="BJ49" i="3"/>
  <c r="AP21" i="3"/>
  <c r="BJ20" i="3"/>
  <c r="AI22" i="3"/>
  <c r="BI22" i="3" s="1"/>
  <c r="BI21" i="3"/>
  <c r="BJ63" i="3"/>
  <c r="AP64" i="3"/>
  <c r="BJ64" i="3" s="1"/>
  <c r="G17" i="7"/>
  <c r="F64" i="7"/>
  <c r="AJ75" i="3" l="1"/>
  <c r="AJ76" i="3" s="1"/>
  <c r="M11" i="10"/>
  <c r="K5" i="2"/>
  <c r="K12" i="2" s="1"/>
  <c r="E40" i="9" s="1"/>
  <c r="J5" i="2"/>
  <c r="J12" i="2" s="1"/>
  <c r="E39" i="9" s="1"/>
  <c r="I5" i="2"/>
  <c r="C6" i="5"/>
  <c r="E6" i="5" s="1"/>
  <c r="E13" i="5" s="1"/>
  <c r="D12" i="2"/>
  <c r="J40" i="39" s="1"/>
  <c r="AK87" i="3"/>
  <c r="AJ88" i="3"/>
  <c r="AO58" i="12"/>
  <c r="AO59" i="12" s="1"/>
  <c r="AO64" i="12" s="1"/>
  <c r="AO67" i="12" s="1"/>
  <c r="K58" i="12"/>
  <c r="K59" i="12" s="1"/>
  <c r="K64" i="12" s="1"/>
  <c r="K63" i="12" s="1"/>
  <c r="AJ58" i="12"/>
  <c r="AJ59" i="12" s="1"/>
  <c r="AJ64" i="12" s="1"/>
  <c r="AJ63" i="12" s="1"/>
  <c r="AC58" i="12"/>
  <c r="AC59" i="12" s="1"/>
  <c r="AC64" i="12" s="1"/>
  <c r="AC63" i="12" s="1"/>
  <c r="AX58" i="12"/>
  <c r="AX59" i="12" s="1"/>
  <c r="AX64" i="12" s="1"/>
  <c r="AX63" i="12" s="1"/>
  <c r="AD16" i="3"/>
  <c r="AC17" i="3"/>
  <c r="AZ58" i="12"/>
  <c r="AZ59" i="12" s="1"/>
  <c r="AZ64" i="12" s="1"/>
  <c r="AZ67" i="12" s="1"/>
  <c r="F58" i="12"/>
  <c r="F59" i="12" s="1"/>
  <c r="F64" i="12" s="1"/>
  <c r="F67" i="12" s="1"/>
  <c r="W58" i="12"/>
  <c r="W59" i="12" s="1"/>
  <c r="W64" i="12" s="1"/>
  <c r="W63" i="12" s="1"/>
  <c r="E58" i="12"/>
  <c r="E59" i="12" s="1"/>
  <c r="E64" i="12" s="1"/>
  <c r="E67" i="12" s="1"/>
  <c r="AG58" i="12"/>
  <c r="AG59" i="12" s="1"/>
  <c r="AG64" i="12" s="1"/>
  <c r="AG67" i="12" s="1"/>
  <c r="AW58" i="12"/>
  <c r="AW59" i="12" s="1"/>
  <c r="AW64" i="12" s="1"/>
  <c r="AW63" i="12" s="1"/>
  <c r="AB58" i="12"/>
  <c r="AB59" i="12" s="1"/>
  <c r="AB64" i="12" s="1"/>
  <c r="AB67" i="12" s="1"/>
  <c r="N58" i="12"/>
  <c r="N59" i="12" s="1"/>
  <c r="N64" i="12" s="1"/>
  <c r="N67" i="12" s="1"/>
  <c r="AA58" i="12"/>
  <c r="AA59" i="12" s="1"/>
  <c r="AA64" i="12" s="1"/>
  <c r="AA67" i="12" s="1"/>
  <c r="AK58" i="12"/>
  <c r="AK59" i="12" s="1"/>
  <c r="AK64" i="12" s="1"/>
  <c r="AK63" i="12" s="1"/>
  <c r="AL58" i="12"/>
  <c r="AL59" i="12" s="1"/>
  <c r="AL64" i="12" s="1"/>
  <c r="AL67" i="12" s="1"/>
  <c r="O58" i="12"/>
  <c r="O59" i="12" s="1"/>
  <c r="O64" i="12" s="1"/>
  <c r="O63" i="12" s="1"/>
  <c r="U58" i="12"/>
  <c r="U59" i="12" s="1"/>
  <c r="U64" i="12" s="1"/>
  <c r="U63" i="12" s="1"/>
  <c r="D58" i="12"/>
  <c r="D59" i="12" s="1"/>
  <c r="D64" i="12" s="1"/>
  <c r="D63" i="12" s="1"/>
  <c r="AD58" i="12"/>
  <c r="AD59" i="12" s="1"/>
  <c r="AD64" i="12" s="1"/>
  <c r="AD63" i="12" s="1"/>
  <c r="AV58" i="12"/>
  <c r="AV59" i="12" s="1"/>
  <c r="AV64" i="12" s="1"/>
  <c r="AV63" i="12" s="1"/>
  <c r="G58" i="12"/>
  <c r="G59" i="12" s="1"/>
  <c r="G64" i="12" s="1"/>
  <c r="G63" i="12" s="1"/>
  <c r="B45" i="12"/>
  <c r="AS58" i="12"/>
  <c r="AS59" i="12" s="1"/>
  <c r="AS64" i="12" s="1"/>
  <c r="AP58" i="12"/>
  <c r="AP59" i="12" s="1"/>
  <c r="AP64" i="12" s="1"/>
  <c r="X58" i="12"/>
  <c r="X59" i="12" s="1"/>
  <c r="X64" i="12" s="1"/>
  <c r="AU58" i="12"/>
  <c r="AU59" i="12" s="1"/>
  <c r="AU64" i="12" s="1"/>
  <c r="AT58" i="12"/>
  <c r="AT59" i="12" s="1"/>
  <c r="AT64" i="12" s="1"/>
  <c r="V58" i="12"/>
  <c r="V59" i="12" s="1"/>
  <c r="V64" i="12" s="1"/>
  <c r="Y58" i="12"/>
  <c r="Y59" i="12" s="1"/>
  <c r="Y64" i="12" s="1"/>
  <c r="T58" i="12"/>
  <c r="T59" i="12" s="1"/>
  <c r="T64" i="12" s="1"/>
  <c r="AM58" i="12"/>
  <c r="AM59" i="12" s="1"/>
  <c r="AM64" i="12" s="1"/>
  <c r="AH58" i="12"/>
  <c r="AH59" i="12" s="1"/>
  <c r="AH64" i="12" s="1"/>
  <c r="AR58" i="12"/>
  <c r="AR59" i="12" s="1"/>
  <c r="AR64" i="12" s="1"/>
  <c r="AQ58" i="12"/>
  <c r="AQ59" i="12" s="1"/>
  <c r="AQ64" i="12" s="1"/>
  <c r="AN58" i="12"/>
  <c r="AN59" i="12" s="1"/>
  <c r="AN64" i="12" s="1"/>
  <c r="Q58" i="12"/>
  <c r="Q59" i="12" s="1"/>
  <c r="Q64" i="12" s="1"/>
  <c r="AI58" i="12"/>
  <c r="AI59" i="12" s="1"/>
  <c r="AI64" i="12" s="1"/>
  <c r="AF58" i="12"/>
  <c r="AF59" i="12" s="1"/>
  <c r="AF64" i="12" s="1"/>
  <c r="S58" i="12"/>
  <c r="S59" i="12" s="1"/>
  <c r="S64" i="12" s="1"/>
  <c r="H58" i="12"/>
  <c r="H59" i="12" s="1"/>
  <c r="H64" i="12" s="1"/>
  <c r="R58" i="12"/>
  <c r="R59" i="12" s="1"/>
  <c r="R64" i="12" s="1"/>
  <c r="P58" i="12"/>
  <c r="P59" i="12" s="1"/>
  <c r="P64" i="12" s="1"/>
  <c r="AY58" i="12"/>
  <c r="AY59" i="12" s="1"/>
  <c r="AY64" i="12" s="1"/>
  <c r="AE58" i="12"/>
  <c r="AE59" i="12" s="1"/>
  <c r="AE64" i="12" s="1"/>
  <c r="I58" i="12"/>
  <c r="I59" i="12" s="1"/>
  <c r="I64" i="12" s="1"/>
  <c r="M58" i="12"/>
  <c r="M59" i="12" s="1"/>
  <c r="M64" i="12" s="1"/>
  <c r="Z58" i="12"/>
  <c r="Z59" i="12" s="1"/>
  <c r="Z64" i="12" s="1"/>
  <c r="J58" i="12"/>
  <c r="J59" i="12" s="1"/>
  <c r="J64" i="12" s="1"/>
  <c r="L58" i="12"/>
  <c r="L59" i="12" s="1"/>
  <c r="L64" i="12" s="1"/>
  <c r="B43" i="12"/>
  <c r="AC73" i="3"/>
  <c r="AD72" i="3"/>
  <c r="O9" i="10"/>
  <c r="P9" i="10"/>
  <c r="D11" i="10"/>
  <c r="E10" i="10"/>
  <c r="H10" i="10" s="1"/>
  <c r="AK16" i="3"/>
  <c r="AJ17" i="3"/>
  <c r="AJ32" i="3"/>
  <c r="AK31" i="3"/>
  <c r="AK45" i="3"/>
  <c r="AJ46" i="3"/>
  <c r="W59" i="3"/>
  <c r="V60" i="3"/>
  <c r="AJ60" i="3"/>
  <c r="AK59" i="3"/>
  <c r="O32" i="3"/>
  <c r="P31" i="3"/>
  <c r="AQ32" i="3"/>
  <c r="AR31" i="3"/>
  <c r="T10" i="11"/>
  <c r="AA8" i="11"/>
  <c r="AA4" i="11"/>
  <c r="W87" i="3"/>
  <c r="V88" i="3"/>
  <c r="W17" i="3"/>
  <c r="V18" i="3"/>
  <c r="V74" i="3"/>
  <c r="W73" i="3"/>
  <c r="AR17" i="3"/>
  <c r="AQ18" i="3"/>
  <c r="P87" i="3"/>
  <c r="O88" i="3"/>
  <c r="O60" i="3"/>
  <c r="P59" i="3"/>
  <c r="W45" i="3"/>
  <c r="V46" i="3"/>
  <c r="P17" i="3"/>
  <c r="O18" i="3"/>
  <c r="AQ88" i="3"/>
  <c r="AR87" i="3"/>
  <c r="AR73" i="3"/>
  <c r="AQ74" i="3"/>
  <c r="P73" i="3"/>
  <c r="O74" i="3"/>
  <c r="V32" i="3"/>
  <c r="W31" i="3"/>
  <c r="AD45" i="3"/>
  <c r="AC46" i="3"/>
  <c r="AC60" i="3"/>
  <c r="AD59" i="3"/>
  <c r="AC32" i="3"/>
  <c r="AD31" i="3"/>
  <c r="V3" i="11"/>
  <c r="U7" i="11"/>
  <c r="V13" i="11"/>
  <c r="U21" i="11"/>
  <c r="V58" i="11"/>
  <c r="U62" i="11"/>
  <c r="P66" i="11"/>
  <c r="Q63" i="11"/>
  <c r="V36" i="11"/>
  <c r="U37" i="11"/>
  <c r="Y67" i="11"/>
  <c r="X69" i="11"/>
  <c r="K22" i="11"/>
  <c r="J26" i="11"/>
  <c r="J70" i="11" s="1"/>
  <c r="J72" i="11" s="1"/>
  <c r="I3" i="7"/>
  <c r="C24" i="30"/>
  <c r="D24" i="30"/>
  <c r="D50" i="7"/>
  <c r="F5" i="39" s="1"/>
  <c r="E24" i="30"/>
  <c r="AD89" i="3"/>
  <c r="AC90" i="3"/>
  <c r="AP78" i="3"/>
  <c r="BJ78" i="3" s="1"/>
  <c r="BJ77" i="3"/>
  <c r="O48" i="3"/>
  <c r="P47" i="3"/>
  <c r="V5" i="11"/>
  <c r="V9" i="11"/>
  <c r="U6" i="11"/>
  <c r="AQ62" i="3"/>
  <c r="AR61" i="3"/>
  <c r="AR47" i="3"/>
  <c r="AQ48" i="3"/>
  <c r="AJ27" i="11"/>
  <c r="Y33" i="11"/>
  <c r="Y28" i="11"/>
  <c r="X32" i="11"/>
  <c r="Y59" i="11"/>
  <c r="Y42" i="11"/>
  <c r="X49" i="11"/>
  <c r="Y54" i="11"/>
  <c r="X57" i="11"/>
  <c r="W74" i="12"/>
  <c r="W75" i="12" s="1"/>
  <c r="W77" i="12" s="1"/>
  <c r="X73" i="12"/>
  <c r="AF76" i="12"/>
  <c r="AI38" i="11"/>
  <c r="AI12" i="11"/>
  <c r="AJ50" i="11"/>
  <c r="BJ21" i="3"/>
  <c r="AP22" i="3"/>
  <c r="BJ22" i="3" s="1"/>
  <c r="F65" i="7"/>
  <c r="G18" i="7"/>
  <c r="G12" i="2" l="1"/>
  <c r="F28" i="39"/>
  <c r="G28" i="39" s="1"/>
  <c r="AK75" i="3"/>
  <c r="N5" i="2"/>
  <c r="N12" i="2" s="1"/>
  <c r="L5" i="2"/>
  <c r="I12" i="2"/>
  <c r="S5" i="2"/>
  <c r="T5" i="2" s="1"/>
  <c r="D14" i="30"/>
  <c r="E22" i="9"/>
  <c r="C13" i="5"/>
  <c r="O67" i="12"/>
  <c r="E63" i="12"/>
  <c r="AO63" i="12"/>
  <c r="AV67" i="12"/>
  <c r="AJ67" i="12"/>
  <c r="AL63" i="12"/>
  <c r="AD67" i="12"/>
  <c r="W67" i="12"/>
  <c r="K67" i="12"/>
  <c r="AB63" i="12"/>
  <c r="AX67" i="12"/>
  <c r="F63" i="12"/>
  <c r="AW67" i="12"/>
  <c r="G67" i="12"/>
  <c r="AK88" i="3"/>
  <c r="AJ89" i="3"/>
  <c r="AZ63" i="12"/>
  <c r="U67" i="12"/>
  <c r="AG63" i="12"/>
  <c r="AD17" i="3"/>
  <c r="AC18" i="3"/>
  <c r="AA63" i="12"/>
  <c r="AC67" i="12"/>
  <c r="N63" i="12"/>
  <c r="D67" i="12"/>
  <c r="AK67" i="12"/>
  <c r="L63" i="12"/>
  <c r="L67" i="12"/>
  <c r="AI63" i="12"/>
  <c r="AI67" i="12"/>
  <c r="AN67" i="12"/>
  <c r="AN63" i="12"/>
  <c r="AM67" i="12"/>
  <c r="AM63" i="12"/>
  <c r="J67" i="12"/>
  <c r="J63" i="12"/>
  <c r="N10" i="10"/>
  <c r="O10" i="10" s="1"/>
  <c r="Z67" i="12"/>
  <c r="Z63" i="12"/>
  <c r="AY67" i="12"/>
  <c r="AY63" i="12"/>
  <c r="S67" i="12"/>
  <c r="S63" i="12"/>
  <c r="AR63" i="12"/>
  <c r="AR67" i="12"/>
  <c r="Y67" i="12"/>
  <c r="Y63" i="12"/>
  <c r="X67" i="12"/>
  <c r="X63" i="12"/>
  <c r="M67" i="12"/>
  <c r="M63" i="12"/>
  <c r="P67" i="12"/>
  <c r="P63" i="12"/>
  <c r="AF67" i="12"/>
  <c r="AF63" i="12"/>
  <c r="Q67" i="12"/>
  <c r="Q63" i="12"/>
  <c r="AH67" i="12"/>
  <c r="AH63" i="12"/>
  <c r="V63" i="12"/>
  <c r="V67" i="12"/>
  <c r="AP67" i="12"/>
  <c r="AP63" i="12"/>
  <c r="I67" i="12"/>
  <c r="I63" i="12"/>
  <c r="AS67" i="12"/>
  <c r="AS63" i="12"/>
  <c r="R67" i="12"/>
  <c r="R63" i="12"/>
  <c r="AT63" i="12"/>
  <c r="AT67" i="12"/>
  <c r="AE63" i="12"/>
  <c r="AE67" i="12"/>
  <c r="H63" i="12"/>
  <c r="H67" i="12"/>
  <c r="AQ67" i="12"/>
  <c r="AQ63" i="12"/>
  <c r="T67" i="12"/>
  <c r="T63" i="12"/>
  <c r="AU63" i="12"/>
  <c r="AU67" i="12"/>
  <c r="AK17" i="3"/>
  <c r="AJ18" i="3"/>
  <c r="I10" i="10"/>
  <c r="J10" i="10" s="1"/>
  <c r="K10" i="10" s="1"/>
  <c r="E11" i="10"/>
  <c r="H11" i="10" s="1"/>
  <c r="I11" i="10" s="1"/>
  <c r="C12" i="10"/>
  <c r="AC74" i="3"/>
  <c r="AD73" i="3"/>
  <c r="AK46" i="3"/>
  <c r="AJ47" i="3"/>
  <c r="AJ33" i="3"/>
  <c r="AK32" i="3"/>
  <c r="V61" i="3"/>
  <c r="W60" i="3"/>
  <c r="P32" i="3"/>
  <c r="O33" i="3"/>
  <c r="AR32" i="3"/>
  <c r="AQ33" i="3"/>
  <c r="AK60" i="3"/>
  <c r="AJ61" i="3"/>
  <c r="AB4" i="11"/>
  <c r="AB8" i="11"/>
  <c r="U10" i="11"/>
  <c r="V89" i="3"/>
  <c r="W88" i="3"/>
  <c r="P60" i="3"/>
  <c r="O61" i="3"/>
  <c r="AC47" i="3"/>
  <c r="AD46" i="3"/>
  <c r="O75" i="3"/>
  <c r="P74" i="3"/>
  <c r="W46" i="3"/>
  <c r="V47" i="3"/>
  <c r="P88" i="3"/>
  <c r="O89" i="3"/>
  <c r="AC61" i="3"/>
  <c r="AD60" i="3"/>
  <c r="W32" i="3"/>
  <c r="V33" i="3"/>
  <c r="AC33" i="3"/>
  <c r="AD32" i="3"/>
  <c r="AR88" i="3"/>
  <c r="AQ89" i="3"/>
  <c r="W74" i="3"/>
  <c r="V75" i="3"/>
  <c r="AQ75" i="3"/>
  <c r="AR74" i="3"/>
  <c r="O19" i="3"/>
  <c r="P18" i="3"/>
  <c r="AR18" i="3"/>
  <c r="AQ19" i="3"/>
  <c r="W18" i="3"/>
  <c r="V19" i="3"/>
  <c r="W3" i="11"/>
  <c r="V7" i="11"/>
  <c r="W36" i="11"/>
  <c r="V37" i="11"/>
  <c r="W58" i="11"/>
  <c r="V62" i="11"/>
  <c r="Q66" i="11"/>
  <c r="R63" i="11"/>
  <c r="W13" i="11"/>
  <c r="V21" i="11"/>
  <c r="Z67" i="11"/>
  <c r="Y69" i="11"/>
  <c r="AQ49" i="3"/>
  <c r="AR48" i="3"/>
  <c r="AQ63" i="3"/>
  <c r="AR62" i="3"/>
  <c r="F24" i="30"/>
  <c r="I24" i="7"/>
  <c r="N45" i="9"/>
  <c r="W9" i="11"/>
  <c r="W5" i="11"/>
  <c r="V6" i="11"/>
  <c r="AC91" i="3"/>
  <c r="AD90" i="3"/>
  <c r="J45" i="9"/>
  <c r="I24" i="30"/>
  <c r="J24" i="30"/>
  <c r="J50" i="7"/>
  <c r="H24" i="30"/>
  <c r="F110" i="6"/>
  <c r="F111" i="6" s="1"/>
  <c r="L22" i="11"/>
  <c r="K26" i="11"/>
  <c r="K70" i="11" s="1"/>
  <c r="K72" i="11" s="1"/>
  <c r="O49" i="3"/>
  <c r="P48" i="3"/>
  <c r="AK76" i="3"/>
  <c r="AJ77" i="3"/>
  <c r="AJ38" i="11"/>
  <c r="AG76" i="12"/>
  <c r="Z54" i="11"/>
  <c r="Y57" i="11"/>
  <c r="Z42" i="11"/>
  <c r="Y49" i="11"/>
  <c r="Z59" i="11"/>
  <c r="Z28" i="11"/>
  <c r="Y32" i="11"/>
  <c r="AK27" i="11"/>
  <c r="AK50" i="11"/>
  <c r="AJ12" i="11"/>
  <c r="Y73" i="12"/>
  <c r="X74" i="12"/>
  <c r="X75" i="12" s="1"/>
  <c r="X77" i="12" s="1"/>
  <c r="Z33" i="11"/>
  <c r="G19" i="7"/>
  <c r="G20" i="7" s="1"/>
  <c r="F66" i="7"/>
  <c r="I22" i="9" l="1"/>
  <c r="G22" i="9"/>
  <c r="F14" i="30"/>
  <c r="P5" i="2"/>
  <c r="P12" i="2" s="1"/>
  <c r="P133" i="2" s="1"/>
  <c r="L12" i="2"/>
  <c r="B40" i="12" s="1"/>
  <c r="B42" i="12" s="1"/>
  <c r="AK89" i="3"/>
  <c r="AJ90" i="3"/>
  <c r="AC19" i="3"/>
  <c r="AD18" i="3"/>
  <c r="P10" i="10"/>
  <c r="D12" i="10"/>
  <c r="L12" i="10"/>
  <c r="M12" i="10" s="1"/>
  <c r="N11" i="10"/>
  <c r="O11" i="10" s="1"/>
  <c r="AK18" i="3"/>
  <c r="AJ19" i="3"/>
  <c r="AC75" i="3"/>
  <c r="AD74" i="3"/>
  <c r="V10" i="11"/>
  <c r="AJ48" i="3"/>
  <c r="AK47" i="3"/>
  <c r="AJ34" i="3"/>
  <c r="AK33" i="3"/>
  <c r="V62" i="3"/>
  <c r="W61" i="3"/>
  <c r="AR33" i="3"/>
  <c r="AQ34" i="3"/>
  <c r="AK61" i="3"/>
  <c r="AJ62" i="3"/>
  <c r="P33" i="3"/>
  <c r="O34" i="3"/>
  <c r="AC8" i="11"/>
  <c r="AC4" i="11"/>
  <c r="V90" i="3"/>
  <c r="W89" i="3"/>
  <c r="W19" i="3"/>
  <c r="V20" i="3"/>
  <c r="W75" i="3"/>
  <c r="V76" i="3"/>
  <c r="W47" i="3"/>
  <c r="V48" i="3"/>
  <c r="P19" i="3"/>
  <c r="O20" i="3"/>
  <c r="AD33" i="3"/>
  <c r="AC34" i="3"/>
  <c r="AC62" i="3"/>
  <c r="AD61" i="3"/>
  <c r="AC48" i="3"/>
  <c r="AD47" i="3"/>
  <c r="AQ20" i="3"/>
  <c r="AR19" i="3"/>
  <c r="AR89" i="3"/>
  <c r="AQ90" i="3"/>
  <c r="W33" i="3"/>
  <c r="V34" i="3"/>
  <c r="P89" i="3"/>
  <c r="O90" i="3"/>
  <c r="P61" i="3"/>
  <c r="O62" i="3"/>
  <c r="AQ76" i="3"/>
  <c r="AR75" i="3"/>
  <c r="O76" i="3"/>
  <c r="P75" i="3"/>
  <c r="X3" i="11"/>
  <c r="W7" i="11"/>
  <c r="X13" i="11"/>
  <c r="W21" i="11"/>
  <c r="X58" i="11"/>
  <c r="W62" i="11"/>
  <c r="R66" i="11"/>
  <c r="S63" i="11"/>
  <c r="X36" i="11"/>
  <c r="W37" i="11"/>
  <c r="Z69" i="11"/>
  <c r="AA67" i="11"/>
  <c r="K50" i="7"/>
  <c r="E14" i="6" s="1"/>
  <c r="F14" i="6" s="1"/>
  <c r="U45" i="9"/>
  <c r="J70" i="7"/>
  <c r="J45" i="37" s="1"/>
  <c r="J49" i="37" s="1"/>
  <c r="K24" i="30"/>
  <c r="D74" i="11"/>
  <c r="N48" i="9"/>
  <c r="N54" i="9" s="1"/>
  <c r="E95" i="2"/>
  <c r="D95" i="2" s="1"/>
  <c r="F26" i="30"/>
  <c r="F32" i="30" s="1"/>
  <c r="G25" i="30"/>
  <c r="G24" i="30"/>
  <c r="AR63" i="3"/>
  <c r="AQ64" i="3"/>
  <c r="AR64" i="3" s="1"/>
  <c r="O50" i="3"/>
  <c r="P50" i="3" s="1"/>
  <c r="P49" i="3"/>
  <c r="L26" i="11"/>
  <c r="L70" i="11" s="1"/>
  <c r="L72" i="11" s="1"/>
  <c r="M22" i="11"/>
  <c r="AK77" i="3"/>
  <c r="AJ78" i="3"/>
  <c r="AK78" i="3" s="1"/>
  <c r="L45" i="9"/>
  <c r="P45" i="9"/>
  <c r="R45" i="9"/>
  <c r="Q45" i="9"/>
  <c r="M45" i="9"/>
  <c r="AC92" i="3"/>
  <c r="AD92" i="3" s="1"/>
  <c r="AD91" i="3"/>
  <c r="X5" i="11"/>
  <c r="X9" i="11"/>
  <c r="W6" i="11"/>
  <c r="AQ50" i="3"/>
  <c r="AR50" i="3" s="1"/>
  <c r="AR49" i="3"/>
  <c r="AA33" i="11"/>
  <c r="AK12" i="11"/>
  <c r="AA28" i="11"/>
  <c r="Z32" i="11"/>
  <c r="AA42" i="11"/>
  <c r="Z49" i="11"/>
  <c r="AL50" i="11"/>
  <c r="AK38" i="11"/>
  <c r="Y74" i="12"/>
  <c r="Y75" i="12" s="1"/>
  <c r="Y77" i="12" s="1"/>
  <c r="Z73" i="12"/>
  <c r="AL27" i="11"/>
  <c r="AA59" i="11"/>
  <c r="AA54" i="11"/>
  <c r="Z57" i="11"/>
  <c r="AH76" i="12"/>
  <c r="F41" i="39" l="1"/>
  <c r="G41" i="39" s="1"/>
  <c r="J17" i="39"/>
  <c r="L17" i="39" s="1"/>
  <c r="L19" i="39" s="1"/>
  <c r="J50" i="37"/>
  <c r="J46" i="37"/>
  <c r="F14" i="37" s="1"/>
  <c r="E38" i="9"/>
  <c r="E41" i="9" s="1"/>
  <c r="AK90" i="3"/>
  <c r="AJ91" i="3"/>
  <c r="AC20" i="3"/>
  <c r="AD19" i="3"/>
  <c r="P11" i="10"/>
  <c r="AC76" i="3"/>
  <c r="AD75" i="3"/>
  <c r="AK19" i="3"/>
  <c r="AJ20" i="3"/>
  <c r="E12" i="10"/>
  <c r="H12" i="10" s="1"/>
  <c r="I12" i="10" s="1"/>
  <c r="J12" i="10" s="1"/>
  <c r="K12" i="10" s="1"/>
  <c r="C13" i="10"/>
  <c r="J11" i="10"/>
  <c r="K11" i="10" s="1"/>
  <c r="AK34" i="3"/>
  <c r="AJ35" i="3"/>
  <c r="AJ49" i="3"/>
  <c r="AK48" i="3"/>
  <c r="V63" i="3"/>
  <c r="W62" i="3"/>
  <c r="AJ63" i="3"/>
  <c r="AK62" i="3"/>
  <c r="I10" i="35"/>
  <c r="K10" i="35" s="1"/>
  <c r="I14" i="35"/>
  <c r="K14" i="35" s="1"/>
  <c r="AR34" i="3"/>
  <c r="AQ35" i="3"/>
  <c r="P34" i="3"/>
  <c r="O35" i="3"/>
  <c r="J21" i="37"/>
  <c r="J28" i="37" s="1"/>
  <c r="AD8" i="11"/>
  <c r="AD4" i="11"/>
  <c r="V91" i="3"/>
  <c r="W90" i="3"/>
  <c r="O63" i="3"/>
  <c r="P62" i="3"/>
  <c r="V35" i="3"/>
  <c r="W34" i="3"/>
  <c r="P20" i="3"/>
  <c r="O21" i="3"/>
  <c r="W76" i="3"/>
  <c r="V77" i="3"/>
  <c r="O77" i="3"/>
  <c r="P76" i="3"/>
  <c r="AQ21" i="3"/>
  <c r="AR20" i="3"/>
  <c r="AD62" i="3"/>
  <c r="AC63" i="3"/>
  <c r="O91" i="3"/>
  <c r="P90" i="3"/>
  <c r="AR90" i="3"/>
  <c r="AQ91" i="3"/>
  <c r="AD34" i="3"/>
  <c r="AC35" i="3"/>
  <c r="W48" i="3"/>
  <c r="V49" i="3"/>
  <c r="V21" i="3"/>
  <c r="W20" i="3"/>
  <c r="AR76" i="3"/>
  <c r="AQ77" i="3"/>
  <c r="AD48" i="3"/>
  <c r="AC49" i="3"/>
  <c r="W10" i="11"/>
  <c r="X7" i="11"/>
  <c r="Y3" i="11"/>
  <c r="Y36" i="11"/>
  <c r="X37" i="11"/>
  <c r="Y58" i="11"/>
  <c r="X62" i="11"/>
  <c r="T63" i="11"/>
  <c r="S66" i="11"/>
  <c r="X21" i="11"/>
  <c r="Y13" i="11"/>
  <c r="AA69" i="11"/>
  <c r="AB67" i="11"/>
  <c r="G26" i="30"/>
  <c r="D76" i="11"/>
  <c r="C46" i="30" s="1"/>
  <c r="D78" i="11"/>
  <c r="C47" i="30" s="1"/>
  <c r="E74" i="11"/>
  <c r="C45" i="30"/>
  <c r="Y9" i="11"/>
  <c r="Y5" i="11"/>
  <c r="X6" i="11"/>
  <c r="L24" i="30"/>
  <c r="L25" i="30"/>
  <c r="M26" i="11"/>
  <c r="M70" i="11" s="1"/>
  <c r="M72" i="11" s="1"/>
  <c r="N22" i="11"/>
  <c r="L74" i="11"/>
  <c r="L78" i="11" s="1"/>
  <c r="AC74" i="11"/>
  <c r="AF74" i="11"/>
  <c r="K74" i="11"/>
  <c r="V74" i="11"/>
  <c r="AK74" i="11"/>
  <c r="T74" i="11"/>
  <c r="AS74" i="11"/>
  <c r="AR74" i="11"/>
  <c r="K26" i="30"/>
  <c r="L26" i="30" s="1"/>
  <c r="L32" i="30" s="1"/>
  <c r="K70" i="7"/>
  <c r="P74" i="11"/>
  <c r="N74" i="11"/>
  <c r="AP74" i="11"/>
  <c r="AB74" i="11"/>
  <c r="O74" i="11"/>
  <c r="M74" i="11"/>
  <c r="Q74" i="11"/>
  <c r="AJ74" i="11"/>
  <c r="AL74" i="11"/>
  <c r="Z74" i="11"/>
  <c r="S74" i="11"/>
  <c r="AI74" i="11"/>
  <c r="AH74" i="11"/>
  <c r="I74" i="11"/>
  <c r="H74" i="11"/>
  <c r="X74" i="11"/>
  <c r="U48" i="9"/>
  <c r="U54" i="9" s="1"/>
  <c r="U39" i="9" s="1"/>
  <c r="Q39" i="9" s="1"/>
  <c r="G74" i="11"/>
  <c r="U74" i="11"/>
  <c r="Y74" i="11"/>
  <c r="AO74" i="11"/>
  <c r="AN74" i="11"/>
  <c r="R74" i="11"/>
  <c r="AE74" i="11"/>
  <c r="AG74" i="11"/>
  <c r="J74" i="11"/>
  <c r="W74" i="11"/>
  <c r="AD74" i="11"/>
  <c r="AT74" i="11"/>
  <c r="AQ74" i="11"/>
  <c r="AA74" i="11"/>
  <c r="AM74" i="11"/>
  <c r="E124" i="2"/>
  <c r="AB54" i="11"/>
  <c r="AA57" i="11"/>
  <c r="AB59" i="11"/>
  <c r="AM27" i="11"/>
  <c r="AL38" i="11"/>
  <c r="AL12" i="11"/>
  <c r="AB33" i="11"/>
  <c r="AI76" i="12"/>
  <c r="Z74" i="12"/>
  <c r="Z75" i="12" s="1"/>
  <c r="Z77" i="12" s="1"/>
  <c r="AA73" i="12"/>
  <c r="AM50" i="11"/>
  <c r="AB42" i="11"/>
  <c r="AA49" i="11"/>
  <c r="AB28" i="11"/>
  <c r="AA32" i="11"/>
  <c r="D124" i="2" l="1"/>
  <c r="AJ92" i="3"/>
  <c r="AK92" i="3" s="1"/>
  <c r="AK91" i="3"/>
  <c r="AD20" i="3"/>
  <c r="AC21" i="3"/>
  <c r="L13" i="10"/>
  <c r="M13" i="10" s="1"/>
  <c r="D13" i="10"/>
  <c r="N12" i="10"/>
  <c r="O12" i="10" s="1"/>
  <c r="AJ21" i="3"/>
  <c r="AK20" i="3"/>
  <c r="AC77" i="3"/>
  <c r="AD76" i="3"/>
  <c r="M78" i="11"/>
  <c r="I95" i="2"/>
  <c r="I97" i="2" s="1"/>
  <c r="G95" i="2"/>
  <c r="AK35" i="3"/>
  <c r="AJ36" i="3"/>
  <c r="AK36" i="3" s="1"/>
  <c r="AJ50" i="3"/>
  <c r="AK50" i="3" s="1"/>
  <c r="AK49" i="3"/>
  <c r="V64" i="3"/>
  <c r="W64" i="3" s="1"/>
  <c r="W63" i="3"/>
  <c r="O38" i="35"/>
  <c r="I16" i="35"/>
  <c r="J16" i="35"/>
  <c r="AQ36" i="3"/>
  <c r="AR36" i="3" s="1"/>
  <c r="AR35" i="3"/>
  <c r="P38" i="35"/>
  <c r="J17" i="35"/>
  <c r="I17" i="35"/>
  <c r="I20" i="35"/>
  <c r="J20" i="35"/>
  <c r="S38" i="35"/>
  <c r="I22" i="35"/>
  <c r="J22" i="35"/>
  <c r="O36" i="3"/>
  <c r="P36" i="3" s="1"/>
  <c r="P35" i="3"/>
  <c r="I27" i="35"/>
  <c r="J27" i="35"/>
  <c r="AJ64" i="3"/>
  <c r="AK64" i="3" s="1"/>
  <c r="AK63" i="3"/>
  <c r="J95" i="2"/>
  <c r="J97" i="2" s="1"/>
  <c r="D97" i="2"/>
  <c r="K95" i="2"/>
  <c r="K97" i="2" s="1"/>
  <c r="C93" i="5"/>
  <c r="D93" i="5" s="1"/>
  <c r="AE8" i="11"/>
  <c r="AE4" i="11"/>
  <c r="V92" i="3"/>
  <c r="W92" i="3" s="1"/>
  <c r="W91" i="3"/>
  <c r="AD49" i="3"/>
  <c r="AC50" i="3"/>
  <c r="AD50" i="3" s="1"/>
  <c r="AC36" i="3"/>
  <c r="AD36" i="3" s="1"/>
  <c r="AD35" i="3"/>
  <c r="V78" i="3"/>
  <c r="W78" i="3" s="1"/>
  <c r="W77" i="3"/>
  <c r="W21" i="3"/>
  <c r="V22" i="3"/>
  <c r="W22" i="3" s="1"/>
  <c r="P91" i="3"/>
  <c r="O92" i="3"/>
  <c r="P92" i="3" s="1"/>
  <c r="AQ22" i="3"/>
  <c r="AR22" i="3" s="1"/>
  <c r="AR21" i="3"/>
  <c r="W35" i="3"/>
  <c r="V36" i="3"/>
  <c r="W36" i="3" s="1"/>
  <c r="AQ78" i="3"/>
  <c r="AR78" i="3" s="1"/>
  <c r="AR77" i="3"/>
  <c r="V50" i="3"/>
  <c r="W50" i="3" s="1"/>
  <c r="W49" i="3"/>
  <c r="AQ92" i="3"/>
  <c r="AR92" i="3" s="1"/>
  <c r="AR91" i="3"/>
  <c r="AC64" i="3"/>
  <c r="AD64" i="3" s="1"/>
  <c r="AD63" i="3"/>
  <c r="O22" i="3"/>
  <c r="P22" i="3" s="1"/>
  <c r="P21" i="3"/>
  <c r="O78" i="3"/>
  <c r="P78" i="3" s="1"/>
  <c r="P77" i="3"/>
  <c r="O64" i="3"/>
  <c r="P64" i="3" s="1"/>
  <c r="P63" i="3"/>
  <c r="X10" i="11"/>
  <c r="Y7" i="11"/>
  <c r="Z3" i="11"/>
  <c r="Z13" i="11"/>
  <c r="Y21" i="11"/>
  <c r="Z58" i="11"/>
  <c r="Y62" i="11"/>
  <c r="U63" i="11"/>
  <c r="T66" i="11"/>
  <c r="Z36" i="11"/>
  <c r="Y37" i="11"/>
  <c r="AC67" i="11"/>
  <c r="AB69" i="11"/>
  <c r="U41" i="9"/>
  <c r="S39" i="9"/>
  <c r="U40" i="9"/>
  <c r="Q40" i="9" s="1"/>
  <c r="K78" i="11"/>
  <c r="K76" i="11"/>
  <c r="W51" i="1" s="1"/>
  <c r="M76" i="11"/>
  <c r="W54" i="1" s="1"/>
  <c r="K32" i="30"/>
  <c r="H78" i="11"/>
  <c r="H76" i="11"/>
  <c r="W46" i="1" s="1"/>
  <c r="E76" i="11"/>
  <c r="D46" i="30" s="1"/>
  <c r="D45" i="30"/>
  <c r="F74" i="11"/>
  <c r="E78" i="11"/>
  <c r="D47" i="30" s="1"/>
  <c r="L76" i="11"/>
  <c r="W53" i="1" s="1"/>
  <c r="J78" i="11"/>
  <c r="J76" i="11"/>
  <c r="W50" i="1" s="1"/>
  <c r="F45" i="30"/>
  <c r="G78" i="11"/>
  <c r="G76" i="11"/>
  <c r="I78" i="11"/>
  <c r="I76" i="11"/>
  <c r="W47" i="1" s="1"/>
  <c r="N26" i="11"/>
  <c r="N70" i="11" s="1"/>
  <c r="N72" i="11" s="1"/>
  <c r="N76" i="11" s="1"/>
  <c r="W55" i="1" s="1"/>
  <c r="O22" i="11"/>
  <c r="Z5" i="11"/>
  <c r="Z9" i="11"/>
  <c r="Y6" i="11"/>
  <c r="AC28" i="11"/>
  <c r="AB32" i="11"/>
  <c r="AC42" i="11"/>
  <c r="AB49" i="11"/>
  <c r="AB73" i="12"/>
  <c r="AA74" i="12"/>
  <c r="AA75" i="12" s="1"/>
  <c r="AA77" i="12" s="1"/>
  <c r="AM38" i="11"/>
  <c r="AN27" i="11"/>
  <c r="AN50" i="11"/>
  <c r="AJ76" i="12"/>
  <c r="AC33" i="11"/>
  <c r="AM12" i="11"/>
  <c r="AC59" i="11"/>
  <c r="AC54" i="11"/>
  <c r="AB57" i="11"/>
  <c r="K124" i="2" l="1"/>
  <c r="V17" i="39"/>
  <c r="J47" i="39"/>
  <c r="C122" i="5"/>
  <c r="E122" i="5" s="1"/>
  <c r="I124" i="2"/>
  <c r="R124" i="2" s="1"/>
  <c r="J124" i="2"/>
  <c r="G124" i="2"/>
  <c r="M95" i="2"/>
  <c r="M97" i="2" s="1"/>
  <c r="R95" i="2"/>
  <c r="R97" i="2" s="1"/>
  <c r="AC22" i="3"/>
  <c r="AD22" i="3" s="1"/>
  <c r="AD21" i="3"/>
  <c r="P12" i="10"/>
  <c r="AK21" i="3"/>
  <c r="AJ22" i="3"/>
  <c r="AK22" i="3" s="1"/>
  <c r="AC78" i="3"/>
  <c r="AD78" i="3" s="1"/>
  <c r="AD77" i="3"/>
  <c r="E13" i="10"/>
  <c r="H13" i="10" s="1"/>
  <c r="I13" i="10" s="1"/>
  <c r="J13" i="10" s="1"/>
  <c r="K13" i="10" s="1"/>
  <c r="C14" i="10"/>
  <c r="N78" i="11"/>
  <c r="S41" i="9"/>
  <c r="S40" i="9"/>
  <c r="E29" i="9"/>
  <c r="G29" i="9" s="1"/>
  <c r="G97" i="2"/>
  <c r="K27" i="35"/>
  <c r="K16" i="35"/>
  <c r="K20" i="35"/>
  <c r="E32" i="35"/>
  <c r="D76" i="35" s="1"/>
  <c r="J30" i="35"/>
  <c r="J32" i="35" s="1"/>
  <c r="I30" i="35"/>
  <c r="T38" i="35"/>
  <c r="K22" i="35"/>
  <c r="K17" i="35"/>
  <c r="L95" i="2"/>
  <c r="Q95" i="2" s="1"/>
  <c r="Q97" i="2" s="1"/>
  <c r="C95" i="5"/>
  <c r="N95" i="2"/>
  <c r="N97" i="2" s="1"/>
  <c r="AF8" i="11"/>
  <c r="AF4" i="11"/>
  <c r="Y10" i="11"/>
  <c r="Z7" i="11"/>
  <c r="AA3" i="11"/>
  <c r="AA36" i="11"/>
  <c r="Z37" i="11"/>
  <c r="AA58" i="11"/>
  <c r="Z62" i="11"/>
  <c r="V63" i="11"/>
  <c r="U66" i="11"/>
  <c r="AA13" i="11"/>
  <c r="Z21" i="11"/>
  <c r="AD67" i="11"/>
  <c r="AC69" i="11"/>
  <c r="AA9" i="11"/>
  <c r="AA5" i="11"/>
  <c r="Z6" i="11"/>
  <c r="F47" i="30"/>
  <c r="K55" i="1"/>
  <c r="D95" i="5"/>
  <c r="O26" i="11"/>
  <c r="O70" i="11" s="1"/>
  <c r="O72" i="11" s="1"/>
  <c r="P22" i="11"/>
  <c r="F46" i="30"/>
  <c r="W44" i="1"/>
  <c r="X44" i="1" s="1"/>
  <c r="F76" i="11"/>
  <c r="E46" i="30" s="1"/>
  <c r="E45" i="30"/>
  <c r="F78" i="11"/>
  <c r="E93" i="5"/>
  <c r="E95" i="5" s="1"/>
  <c r="AD54" i="11"/>
  <c r="AC57" i="11"/>
  <c r="AD59" i="11"/>
  <c r="AN12" i="11"/>
  <c r="AD33" i="11"/>
  <c r="AK76" i="12"/>
  <c r="AD42" i="11"/>
  <c r="AC49" i="11"/>
  <c r="AD28" i="11"/>
  <c r="AC32" i="11"/>
  <c r="AO50" i="11"/>
  <c r="AO27" i="11"/>
  <c r="AN38" i="11"/>
  <c r="AC73" i="12"/>
  <c r="AB74" i="12"/>
  <c r="AB75" i="12" s="1"/>
  <c r="AB77" i="12" s="1"/>
  <c r="S124" i="2" l="1"/>
  <c r="N124" i="2"/>
  <c r="M124" i="2"/>
  <c r="L124" i="2"/>
  <c r="E47" i="30"/>
  <c r="G32" i="30" s="1"/>
  <c r="J24" i="7"/>
  <c r="I29" i="9"/>
  <c r="L14" i="10"/>
  <c r="M14" i="10" s="1"/>
  <c r="D14" i="10"/>
  <c r="N13" i="10"/>
  <c r="O13" i="10" s="1"/>
  <c r="L97" i="2"/>
  <c r="S95" i="2"/>
  <c r="T95" i="2" s="1"/>
  <c r="O76" i="11"/>
  <c r="W56" i="1" s="1"/>
  <c r="O78" i="11"/>
  <c r="I32" i="35"/>
  <c r="K30" i="35"/>
  <c r="K32" i="35" s="1"/>
  <c r="D78" i="35" s="1"/>
  <c r="E83" i="35" s="1"/>
  <c r="E84" i="35" s="1"/>
  <c r="E87" i="35" s="1"/>
  <c r="AG8" i="11"/>
  <c r="AG4" i="11"/>
  <c r="Z10" i="11"/>
  <c r="AB3" i="11"/>
  <c r="AA7" i="11"/>
  <c r="AA21" i="11"/>
  <c r="AB13" i="11"/>
  <c r="AB58" i="11"/>
  <c r="AA62" i="11"/>
  <c r="V66" i="11"/>
  <c r="W63" i="11"/>
  <c r="AB36" i="11"/>
  <c r="AA37" i="11"/>
  <c r="AE67" i="11"/>
  <c r="AD69" i="11"/>
  <c r="Q124" i="2"/>
  <c r="AB9" i="11"/>
  <c r="AB5" i="11"/>
  <c r="AA6" i="11"/>
  <c r="Q22" i="11"/>
  <c r="P26" i="11"/>
  <c r="P70" i="11" s="1"/>
  <c r="P72" i="11" s="1"/>
  <c r="AD73" i="12"/>
  <c r="AC74" i="12"/>
  <c r="AC75" i="12" s="1"/>
  <c r="AC77" i="12" s="1"/>
  <c r="AP50" i="11"/>
  <c r="AE28" i="11"/>
  <c r="AD32" i="11"/>
  <c r="AE42" i="11"/>
  <c r="AD49" i="11"/>
  <c r="AL76" i="12"/>
  <c r="AE33" i="11"/>
  <c r="AO38" i="11"/>
  <c r="AP27" i="11"/>
  <c r="AO12" i="11"/>
  <c r="AE59" i="11"/>
  <c r="AE54" i="11"/>
  <c r="AD57" i="11"/>
  <c r="T124" i="2" l="1"/>
  <c r="P13" i="10"/>
  <c r="E14" i="10"/>
  <c r="H14" i="10" s="1"/>
  <c r="I14" i="10" s="1"/>
  <c r="J14" i="10" s="1"/>
  <c r="K14" i="10" s="1"/>
  <c r="C15" i="10"/>
  <c r="P76" i="11"/>
  <c r="W57" i="1" s="1"/>
  <c r="X53" i="1" s="1"/>
  <c r="P78" i="11"/>
  <c r="AH8" i="11"/>
  <c r="AH4" i="11"/>
  <c r="AA10" i="11"/>
  <c r="AB7" i="11"/>
  <c r="AC3" i="11"/>
  <c r="AC36" i="11"/>
  <c r="AB37" i="11"/>
  <c r="AC58" i="11"/>
  <c r="AB62" i="11"/>
  <c r="X63" i="11"/>
  <c r="W66" i="11"/>
  <c r="AB21" i="11"/>
  <c r="AC13" i="11"/>
  <c r="AF67" i="11"/>
  <c r="AE69" i="11"/>
  <c r="R22" i="11"/>
  <c r="Q26" i="11"/>
  <c r="Q70" i="11" s="1"/>
  <c r="Q72" i="11" s="1"/>
  <c r="AC5" i="11"/>
  <c r="AC9" i="11"/>
  <c r="AB6" i="11"/>
  <c r="AP38" i="11"/>
  <c r="AM76" i="12"/>
  <c r="AF42" i="11"/>
  <c r="AE49" i="11"/>
  <c r="AF28" i="11"/>
  <c r="AE32" i="11"/>
  <c r="AP12" i="11"/>
  <c r="AF54" i="11"/>
  <c r="AE57" i="11"/>
  <c r="AF59" i="11"/>
  <c r="AQ27" i="11"/>
  <c r="AF33" i="11"/>
  <c r="AQ50" i="11"/>
  <c r="AE73" i="12"/>
  <c r="AD74" i="12"/>
  <c r="AD75" i="12" s="1"/>
  <c r="AD77" i="12" s="1"/>
  <c r="N14" i="10" l="1"/>
  <c r="O14" i="10" s="1"/>
  <c r="D15" i="10"/>
  <c r="L15" i="10"/>
  <c r="M15" i="10" s="1"/>
  <c r="C16" i="10"/>
  <c r="Q76" i="11"/>
  <c r="W58" i="1" s="1"/>
  <c r="Q78" i="11"/>
  <c r="AI4" i="11"/>
  <c r="AI8" i="11"/>
  <c r="AB10" i="11"/>
  <c r="AD3" i="11"/>
  <c r="AC7" i="11"/>
  <c r="AD58" i="11"/>
  <c r="AC62" i="11"/>
  <c r="AC21" i="11"/>
  <c r="AD13" i="11"/>
  <c r="Y63" i="11"/>
  <c r="X66" i="11"/>
  <c r="AD36" i="11"/>
  <c r="AC37" i="11"/>
  <c r="AF69" i="11"/>
  <c r="AG67" i="11"/>
  <c r="AD9" i="11"/>
  <c r="AD5" i="11"/>
  <c r="AC6" i="11"/>
  <c r="R26" i="11"/>
  <c r="R70" i="11" s="1"/>
  <c r="R72" i="11" s="1"/>
  <c r="S22" i="11"/>
  <c r="AF73" i="12"/>
  <c r="AE74" i="12"/>
  <c r="AE75" i="12" s="1"/>
  <c r="AE77" i="12" s="1"/>
  <c r="AR50" i="11"/>
  <c r="AG33" i="11"/>
  <c r="AR27" i="11"/>
  <c r="AG28" i="11"/>
  <c r="AF32" i="11"/>
  <c r="AG42" i="11"/>
  <c r="AF49" i="11"/>
  <c r="AG59" i="11"/>
  <c r="AG54" i="11"/>
  <c r="AF57" i="11"/>
  <c r="AQ12" i="11"/>
  <c r="AN76" i="12"/>
  <c r="AQ38" i="11"/>
  <c r="P14" i="10" l="1"/>
  <c r="E15" i="10"/>
  <c r="N15" i="10" s="1"/>
  <c r="C18" i="10"/>
  <c r="R76" i="11"/>
  <c r="W59" i="1" s="1"/>
  <c r="R78" i="11"/>
  <c r="AC10" i="11"/>
  <c r="AJ4" i="11"/>
  <c r="AJ8" i="11"/>
  <c r="AD7" i="11"/>
  <c r="AE3" i="11"/>
  <c r="AE13" i="11"/>
  <c r="AD21" i="11"/>
  <c r="AE36" i="11"/>
  <c r="AD37" i="11"/>
  <c r="Z63" i="11"/>
  <c r="Y66" i="11"/>
  <c r="AE58" i="11"/>
  <c r="AD62" i="11"/>
  <c r="AG69" i="11"/>
  <c r="AH67" i="11"/>
  <c r="T22" i="11"/>
  <c r="S26" i="11"/>
  <c r="S70" i="11" s="1"/>
  <c r="S72" i="11" s="1"/>
  <c r="AE9" i="11"/>
  <c r="AE5" i="11"/>
  <c r="AD6" i="11"/>
  <c r="AH59" i="11"/>
  <c r="AO76" i="12"/>
  <c r="AR12" i="11"/>
  <c r="AH42" i="11"/>
  <c r="AG49" i="11"/>
  <c r="AH28" i="11"/>
  <c r="AG32" i="11"/>
  <c r="AH33" i="11"/>
  <c r="AS50" i="11"/>
  <c r="AG73" i="12"/>
  <c r="AF74" i="12"/>
  <c r="AF75" i="12" s="1"/>
  <c r="AF77" i="12" s="1"/>
  <c r="AR38" i="11"/>
  <c r="AH54" i="11"/>
  <c r="AG57" i="11"/>
  <c r="AS27" i="11"/>
  <c r="O15" i="10" l="1"/>
  <c r="N16" i="10" s="1"/>
  <c r="O16" i="10" s="1"/>
  <c r="N17" i="10" s="1"/>
  <c r="O17" i="10" s="1"/>
  <c r="P15" i="10"/>
  <c r="L18" i="10"/>
  <c r="M18" i="10" s="1"/>
  <c r="D18" i="10"/>
  <c r="H15" i="10"/>
  <c r="I15" i="10" s="1"/>
  <c r="J15" i="10" s="1"/>
  <c r="K15" i="10" s="1"/>
  <c r="K16" i="10" s="1"/>
  <c r="S76" i="11"/>
  <c r="W60" i="1" s="1"/>
  <c r="S78" i="11"/>
  <c r="AK4" i="11"/>
  <c r="AK8" i="11"/>
  <c r="AD10" i="11"/>
  <c r="AE7" i="11"/>
  <c r="AF3" i="11"/>
  <c r="AF58" i="11"/>
  <c r="AE62" i="11"/>
  <c r="AF36" i="11"/>
  <c r="AE37" i="11"/>
  <c r="Z66" i="11"/>
  <c r="AA63" i="11"/>
  <c r="AE21" i="11"/>
  <c r="AF13" i="11"/>
  <c r="AH69" i="11"/>
  <c r="AI67" i="11"/>
  <c r="AF5" i="11"/>
  <c r="AF9" i="11"/>
  <c r="AE6" i="11"/>
  <c r="U22" i="11"/>
  <c r="T26" i="11"/>
  <c r="T70" i="11" s="1"/>
  <c r="T72" i="11" s="1"/>
  <c r="AT27" i="11"/>
  <c r="AI54" i="11"/>
  <c r="AH57" i="11"/>
  <c r="AS38" i="11"/>
  <c r="AG74" i="12"/>
  <c r="AG75" i="12" s="1"/>
  <c r="AG77" i="12" s="1"/>
  <c r="AH73" i="12"/>
  <c r="AT50" i="11"/>
  <c r="AI33" i="11"/>
  <c r="AI28" i="11"/>
  <c r="AH32" i="11"/>
  <c r="AI42" i="11"/>
  <c r="AH49" i="11"/>
  <c r="AI59" i="11"/>
  <c r="AS12" i="11"/>
  <c r="AP76" i="12"/>
  <c r="P16" i="10" l="1"/>
  <c r="P17" i="10" s="1"/>
  <c r="C19" i="10"/>
  <c r="E18" i="10"/>
  <c r="H18" i="10" s="1"/>
  <c r="I18" i="10" s="1"/>
  <c r="J18" i="10" s="1"/>
  <c r="K18" i="10" s="1"/>
  <c r="T76" i="11"/>
  <c r="W61" i="1" s="1"/>
  <c r="T78" i="11"/>
  <c r="AL8" i="11"/>
  <c r="AL4" i="11"/>
  <c r="AE10" i="11"/>
  <c r="AG3" i="11"/>
  <c r="AF7" i="11"/>
  <c r="AF21" i="11"/>
  <c r="AG13" i="11"/>
  <c r="AG36" i="11"/>
  <c r="AF37" i="11"/>
  <c r="AA66" i="11"/>
  <c r="AB63" i="11"/>
  <c r="AG58" i="11"/>
  <c r="AF62" i="11"/>
  <c r="AJ67" i="11"/>
  <c r="AI69" i="11"/>
  <c r="U26" i="11"/>
  <c r="U70" i="11" s="1"/>
  <c r="U72" i="11" s="1"/>
  <c r="V22" i="11"/>
  <c r="AG5" i="11"/>
  <c r="AG9" i="11"/>
  <c r="AF6" i="11"/>
  <c r="AJ59" i="11"/>
  <c r="AI73" i="12"/>
  <c r="AH74" i="12"/>
  <c r="AH75" i="12" s="1"/>
  <c r="AH77" i="12" s="1"/>
  <c r="AQ76" i="12"/>
  <c r="AT12" i="11"/>
  <c r="AJ42" i="11"/>
  <c r="AI49" i="11"/>
  <c r="AJ28" i="11"/>
  <c r="AI32" i="11"/>
  <c r="AJ33" i="11"/>
  <c r="AT38" i="11"/>
  <c r="AJ54" i="11"/>
  <c r="AI57" i="11"/>
  <c r="N18" i="10" l="1"/>
  <c r="O18" i="10" s="1"/>
  <c r="L19" i="10"/>
  <c r="M19" i="10" s="1"/>
  <c r="D19" i="10"/>
  <c r="U76" i="11"/>
  <c r="W62" i="1" s="1"/>
  <c r="X58" i="1" s="1"/>
  <c r="U78" i="11"/>
  <c r="AM4" i="11"/>
  <c r="AM8" i="11"/>
  <c r="AF10" i="11"/>
  <c r="AH3" i="11"/>
  <c r="AG7" i="11"/>
  <c r="AH58" i="11"/>
  <c r="AG62" i="11"/>
  <c r="AH36" i="11"/>
  <c r="AG37" i="11"/>
  <c r="AB66" i="11"/>
  <c r="AC63" i="11"/>
  <c r="AH13" i="11"/>
  <c r="AG21" i="11"/>
  <c r="AK67" i="11"/>
  <c r="AJ69" i="11"/>
  <c r="AH9" i="11"/>
  <c r="AH5" i="11"/>
  <c r="AG6" i="11"/>
  <c r="W22" i="11"/>
  <c r="V26" i="11"/>
  <c r="V70" i="11" s="1"/>
  <c r="V72" i="11" s="1"/>
  <c r="AJ73" i="12"/>
  <c r="AI74" i="12"/>
  <c r="AI75" i="12" s="1"/>
  <c r="AI77" i="12" s="1"/>
  <c r="AK54" i="11"/>
  <c r="AJ57" i="11"/>
  <c r="AK33" i="11"/>
  <c r="AK28" i="11"/>
  <c r="AJ32" i="11"/>
  <c r="AK42" i="11"/>
  <c r="AJ49" i="11"/>
  <c r="AR76" i="12"/>
  <c r="AK59" i="11"/>
  <c r="P18" i="10" l="1"/>
  <c r="C20" i="10"/>
  <c r="E19" i="10"/>
  <c r="V76" i="11"/>
  <c r="W63" i="1" s="1"/>
  <c r="V78" i="11"/>
  <c r="AN8" i="11"/>
  <c r="AN4" i="11"/>
  <c r="AG10" i="11"/>
  <c r="AH7" i="11"/>
  <c r="AI3" i="11"/>
  <c r="AI36" i="11"/>
  <c r="AH37" i="11"/>
  <c r="AD63" i="11"/>
  <c r="AC66" i="11"/>
  <c r="AI13" i="11"/>
  <c r="AH21" i="11"/>
  <c r="AI58" i="11"/>
  <c r="AH62" i="11"/>
  <c r="AL67" i="11"/>
  <c r="AK69" i="11"/>
  <c r="X22" i="11"/>
  <c r="W26" i="11"/>
  <c r="W70" i="11" s="1"/>
  <c r="W72" i="11" s="1"/>
  <c r="AI5" i="11"/>
  <c r="AI9" i="11"/>
  <c r="AH6" i="11"/>
  <c r="AS76" i="12"/>
  <c r="AL42" i="11"/>
  <c r="AK49" i="11"/>
  <c r="AL28" i="11"/>
  <c r="AK32" i="11"/>
  <c r="AL33" i="11"/>
  <c r="AL54" i="11"/>
  <c r="AK57" i="11"/>
  <c r="AL59" i="11"/>
  <c r="AK73" i="12"/>
  <c r="AJ74" i="12"/>
  <c r="AJ75" i="12" s="1"/>
  <c r="AJ77" i="12" s="1"/>
  <c r="H19" i="10" l="1"/>
  <c r="I19" i="10" s="1"/>
  <c r="J19" i="10" s="1"/>
  <c r="K19" i="10" s="1"/>
  <c r="N19" i="10"/>
  <c r="L20" i="10"/>
  <c r="M20" i="10" s="1"/>
  <c r="D20" i="10"/>
  <c r="W76" i="11"/>
  <c r="W64" i="1" s="1"/>
  <c r="W78" i="11"/>
  <c r="AO4" i="11"/>
  <c r="AO8" i="11"/>
  <c r="AH10" i="11"/>
  <c r="AI7" i="11"/>
  <c r="AJ3" i="11"/>
  <c r="AJ58" i="11"/>
  <c r="AI62" i="11"/>
  <c r="AE63" i="11"/>
  <c r="AD66" i="11"/>
  <c r="AJ13" i="11"/>
  <c r="AI21" i="11"/>
  <c r="AJ36" i="11"/>
  <c r="AI37" i="11"/>
  <c r="AL69" i="11"/>
  <c r="AM67" i="11"/>
  <c r="Y22" i="11"/>
  <c r="X26" i="11"/>
  <c r="X70" i="11" s="1"/>
  <c r="X72" i="11" s="1"/>
  <c r="AJ9" i="11"/>
  <c r="AJ5" i="11"/>
  <c r="AI6" i="11"/>
  <c r="AM33" i="11"/>
  <c r="AK74" i="12"/>
  <c r="AK75" i="12" s="1"/>
  <c r="AK77" i="12" s="1"/>
  <c r="AL73" i="12"/>
  <c r="AM59" i="11"/>
  <c r="AM54" i="11"/>
  <c r="AL57" i="11"/>
  <c r="AM28" i="11"/>
  <c r="AL32" i="11"/>
  <c r="AM42" i="11"/>
  <c r="AL49" i="11"/>
  <c r="AT76" i="12"/>
  <c r="O19" i="10" l="1"/>
  <c r="P19" i="10"/>
  <c r="E20" i="10"/>
  <c r="H20" i="10" s="1"/>
  <c r="C21" i="10"/>
  <c r="X76" i="11"/>
  <c r="W65" i="1" s="1"/>
  <c r="X78" i="11"/>
  <c r="AP4" i="11"/>
  <c r="AP8" i="11"/>
  <c r="AI10" i="11"/>
  <c r="AJ7" i="11"/>
  <c r="AK3" i="11"/>
  <c r="AK36" i="11"/>
  <c r="AJ37" i="11"/>
  <c r="AF63" i="11"/>
  <c r="AE66" i="11"/>
  <c r="AJ21" i="11"/>
  <c r="AK13" i="11"/>
  <c r="AK58" i="11"/>
  <c r="AJ62" i="11"/>
  <c r="AM69" i="11"/>
  <c r="AN67" i="11"/>
  <c r="Z22" i="11"/>
  <c r="Y26" i="11"/>
  <c r="Y70" i="11" s="1"/>
  <c r="Y72" i="11" s="1"/>
  <c r="AK9" i="11"/>
  <c r="AK5" i="11"/>
  <c r="AJ6" i="11"/>
  <c r="AN59" i="11"/>
  <c r="AL74" i="12"/>
  <c r="AL75" i="12" s="1"/>
  <c r="AL77" i="12" s="1"/>
  <c r="AM73" i="12"/>
  <c r="AN33" i="11"/>
  <c r="AU76" i="12"/>
  <c r="AN42" i="11"/>
  <c r="AM49" i="11"/>
  <c r="AN28" i="11"/>
  <c r="AM32" i="11"/>
  <c r="AN54" i="11"/>
  <c r="AM57" i="11"/>
  <c r="N20" i="10" l="1"/>
  <c r="O20" i="10" s="1"/>
  <c r="L21" i="10"/>
  <c r="M21" i="10" s="1"/>
  <c r="D21" i="10"/>
  <c r="I20" i="10"/>
  <c r="J20" i="10" s="1"/>
  <c r="Y76" i="11"/>
  <c r="W66" i="1" s="1"/>
  <c r="Y78" i="11"/>
  <c r="AQ8" i="11"/>
  <c r="AQ4" i="11"/>
  <c r="AJ10" i="11"/>
  <c r="AL3" i="11"/>
  <c r="AK7" i="11"/>
  <c r="AK21" i="11"/>
  <c r="AL13" i="11"/>
  <c r="AL58" i="11"/>
  <c r="AK62" i="11"/>
  <c r="AF66" i="11"/>
  <c r="AG63" i="11"/>
  <c r="AL36" i="11"/>
  <c r="AK37" i="11"/>
  <c r="AN69" i="11"/>
  <c r="AO67" i="11"/>
  <c r="AL9" i="11"/>
  <c r="AL5" i="11"/>
  <c r="AK6" i="11"/>
  <c r="Z26" i="11"/>
  <c r="Z70" i="11" s="1"/>
  <c r="Z72" i="11" s="1"/>
  <c r="AA22" i="11"/>
  <c r="AO54" i="11"/>
  <c r="AN57" i="11"/>
  <c r="AO28" i="11"/>
  <c r="AN32" i="11"/>
  <c r="AO42" i="11"/>
  <c r="AN49" i="11"/>
  <c r="AV76" i="12"/>
  <c r="AO33" i="11"/>
  <c r="AO59" i="11"/>
  <c r="AM74" i="12"/>
  <c r="AM75" i="12" s="1"/>
  <c r="AM77" i="12" s="1"/>
  <c r="AN73" i="12"/>
  <c r="P20" i="10" l="1"/>
  <c r="K20" i="10"/>
  <c r="C22" i="10"/>
  <c r="E21" i="10"/>
  <c r="Z76" i="11"/>
  <c r="W67" i="1" s="1"/>
  <c r="X63" i="1" s="1"/>
  <c r="Z78" i="11"/>
  <c r="AR8" i="11"/>
  <c r="AR4" i="11"/>
  <c r="AK10" i="11"/>
  <c r="AL7" i="11"/>
  <c r="AM3" i="11"/>
  <c r="AM36" i="11"/>
  <c r="AL37" i="11"/>
  <c r="AM58" i="11"/>
  <c r="AL62" i="11"/>
  <c r="AG66" i="11"/>
  <c r="AH63" i="11"/>
  <c r="AL21" i="11"/>
  <c r="AM13" i="11"/>
  <c r="AP67" i="11"/>
  <c r="AO69" i="11"/>
  <c r="AA26" i="11"/>
  <c r="AA70" i="11" s="1"/>
  <c r="AA72" i="11" s="1"/>
  <c r="AB22" i="11"/>
  <c r="AM5" i="11"/>
  <c r="AM9" i="11"/>
  <c r="AL6" i="11"/>
  <c r="AP59" i="11"/>
  <c r="AP33" i="11"/>
  <c r="AN74" i="12"/>
  <c r="AN75" i="12" s="1"/>
  <c r="AN77" i="12" s="1"/>
  <c r="AO73" i="12"/>
  <c r="AW76" i="12"/>
  <c r="AP42" i="11"/>
  <c r="AO49" i="11"/>
  <c r="AP28" i="11"/>
  <c r="AO32" i="11"/>
  <c r="AP54" i="11"/>
  <c r="AO57" i="11"/>
  <c r="AL10" i="11" l="1"/>
  <c r="H21" i="10"/>
  <c r="I21" i="10" s="1"/>
  <c r="J21" i="10" s="1"/>
  <c r="N21" i="10"/>
  <c r="D22" i="10"/>
  <c r="L22" i="10"/>
  <c r="M22" i="10" s="1"/>
  <c r="AA76" i="11"/>
  <c r="W68" i="1" s="1"/>
  <c r="AA78" i="11"/>
  <c r="AS4" i="11"/>
  <c r="AS8" i="11"/>
  <c r="AN3" i="11"/>
  <c r="AM7" i="11"/>
  <c r="AM21" i="11"/>
  <c r="AN13" i="11"/>
  <c r="AN58" i="11"/>
  <c r="AM62" i="11"/>
  <c r="AH66" i="11"/>
  <c r="AI63" i="11"/>
  <c r="AN36" i="11"/>
  <c r="AM37" i="11"/>
  <c r="AQ67" i="11"/>
  <c r="AP69" i="11"/>
  <c r="AN5" i="11"/>
  <c r="AN9" i="11"/>
  <c r="AM6" i="11"/>
  <c r="AC22" i="11"/>
  <c r="AB26" i="11"/>
  <c r="AB70" i="11" s="1"/>
  <c r="AB72" i="11" s="1"/>
  <c r="AX76" i="12"/>
  <c r="AQ54" i="11"/>
  <c r="AP57" i="11"/>
  <c r="AQ28" i="11"/>
  <c r="AP32" i="11"/>
  <c r="AQ42" i="11"/>
  <c r="AP49" i="11"/>
  <c r="AO74" i="12"/>
  <c r="AO75" i="12" s="1"/>
  <c r="AO77" i="12" s="1"/>
  <c r="AP73" i="12"/>
  <c r="AQ33" i="11"/>
  <c r="AQ59" i="11"/>
  <c r="K21" i="10" l="1"/>
  <c r="O21" i="10"/>
  <c r="P21" i="10"/>
  <c r="C23" i="10"/>
  <c r="E22" i="10"/>
  <c r="H22" i="10" s="1"/>
  <c r="AB76" i="11"/>
  <c r="W69" i="1" s="1"/>
  <c r="AB78" i="11"/>
  <c r="AM10" i="11"/>
  <c r="AT8" i="11"/>
  <c r="AT4" i="11"/>
  <c r="AO3" i="11"/>
  <c r="AN7" i="11"/>
  <c r="AO36" i="11"/>
  <c r="AN37" i="11"/>
  <c r="AO58" i="11"/>
  <c r="AN62" i="11"/>
  <c r="AI66" i="11"/>
  <c r="AJ63" i="11"/>
  <c r="AN21" i="11"/>
  <c r="AO13" i="11"/>
  <c r="AQ69" i="11"/>
  <c r="AR67" i="11"/>
  <c r="AO9" i="11"/>
  <c r="AO5" i="11"/>
  <c r="AN6" i="11"/>
  <c r="AC26" i="11"/>
  <c r="AC70" i="11" s="1"/>
  <c r="AC72" i="11" s="1"/>
  <c r="AD22" i="11"/>
  <c r="AR59" i="11"/>
  <c r="AR33" i="11"/>
  <c r="AR42" i="11"/>
  <c r="AQ49" i="11"/>
  <c r="AR28" i="11"/>
  <c r="AQ32" i="11"/>
  <c r="AR54" i="11"/>
  <c r="AQ57" i="11"/>
  <c r="AY76" i="12"/>
  <c r="AP74" i="12"/>
  <c r="AP75" i="12" s="1"/>
  <c r="AP77" i="12" s="1"/>
  <c r="AQ73" i="12"/>
  <c r="N22" i="10" l="1"/>
  <c r="O22" i="10" s="1"/>
  <c r="I22" i="10"/>
  <c r="J22" i="10" s="1"/>
  <c r="K22" i="10" s="1"/>
  <c r="D23" i="10"/>
  <c r="L23" i="10"/>
  <c r="M23" i="10" s="1"/>
  <c r="AC76" i="11"/>
  <c r="W70" i="1" s="1"/>
  <c r="AC78" i="11"/>
  <c r="AN10" i="11"/>
  <c r="AO7" i="11"/>
  <c r="AP3" i="11"/>
  <c r="AP13" i="11"/>
  <c r="AO21" i="11"/>
  <c r="AP58" i="11"/>
  <c r="AO62" i="11"/>
  <c r="AJ66" i="11"/>
  <c r="AK63" i="11"/>
  <c r="AP36" i="11"/>
  <c r="AO37" i="11"/>
  <c r="AS67" i="11"/>
  <c r="AR69" i="11"/>
  <c r="AD26" i="11"/>
  <c r="AD70" i="11" s="1"/>
  <c r="AD72" i="11" s="1"/>
  <c r="AE22" i="11"/>
  <c r="AP5" i="11"/>
  <c r="AP9" i="11"/>
  <c r="AO6" i="11"/>
  <c r="AQ74" i="12"/>
  <c r="AQ75" i="12" s="1"/>
  <c r="AQ77" i="12" s="1"/>
  <c r="AR73" i="12"/>
  <c r="AS33" i="11"/>
  <c r="AZ76" i="12"/>
  <c r="AS54" i="11"/>
  <c r="AR57" i="11"/>
  <c r="AS28" i="11"/>
  <c r="AR32" i="11"/>
  <c r="AS42" i="11"/>
  <c r="AR49" i="11"/>
  <c r="AS59" i="11"/>
  <c r="P22" i="10" l="1"/>
  <c r="C24" i="10"/>
  <c r="E23" i="10"/>
  <c r="AD76" i="11"/>
  <c r="W71" i="1" s="1"/>
  <c r="AD78" i="11"/>
  <c r="AO10" i="11"/>
  <c r="AP7" i="11"/>
  <c r="AQ3" i="11"/>
  <c r="AQ36" i="11"/>
  <c r="AP37" i="11"/>
  <c r="AQ58" i="11"/>
  <c r="AP62" i="11"/>
  <c r="AK66" i="11"/>
  <c r="AL63" i="11"/>
  <c r="AQ13" i="11"/>
  <c r="AP21" i="11"/>
  <c r="AS69" i="11"/>
  <c r="AT67" i="11"/>
  <c r="AT69" i="11" s="1"/>
  <c r="AQ5" i="11"/>
  <c r="AQ9" i="11"/>
  <c r="AP6" i="11"/>
  <c r="AE26" i="11"/>
  <c r="AE70" i="11" s="1"/>
  <c r="AE72" i="11" s="1"/>
  <c r="AF22" i="11"/>
  <c r="AT59" i="11"/>
  <c r="AT42" i="11"/>
  <c r="AT49" i="11" s="1"/>
  <c r="AS49" i="11"/>
  <c r="AT28" i="11"/>
  <c r="AT32" i="11" s="1"/>
  <c r="AS32" i="11"/>
  <c r="AT54" i="11"/>
  <c r="AT57" i="11" s="1"/>
  <c r="AS57" i="11"/>
  <c r="AT33" i="11"/>
  <c r="AS73" i="12"/>
  <c r="AR74" i="12"/>
  <c r="AR75" i="12" s="1"/>
  <c r="AR77" i="12" s="1"/>
  <c r="H23" i="10" l="1"/>
  <c r="I23" i="10" s="1"/>
  <c r="J23" i="10" s="1"/>
  <c r="K23" i="10" s="1"/>
  <c r="N23" i="10"/>
  <c r="D24" i="10"/>
  <c r="L24" i="10"/>
  <c r="M24" i="10" s="1"/>
  <c r="AE76" i="11"/>
  <c r="W72" i="1" s="1"/>
  <c r="X68" i="1" s="1"/>
  <c r="AE78" i="11"/>
  <c r="AP10" i="11"/>
  <c r="AQ7" i="11"/>
  <c r="AR3" i="11"/>
  <c r="AR13" i="11"/>
  <c r="AQ21" i="11"/>
  <c r="AR58" i="11"/>
  <c r="AQ62" i="11"/>
  <c r="AM63" i="11"/>
  <c r="AL66" i="11"/>
  <c r="AR36" i="11"/>
  <c r="AQ37" i="11"/>
  <c r="AF26" i="11"/>
  <c r="AF70" i="11" s="1"/>
  <c r="AF72" i="11" s="1"/>
  <c r="AG22" i="11"/>
  <c r="AR9" i="11"/>
  <c r="AR5" i="11"/>
  <c r="AQ6" i="11"/>
  <c r="AT73" i="12"/>
  <c r="AS74" i="12"/>
  <c r="AS75" i="12" s="1"/>
  <c r="AS77" i="12" s="1"/>
  <c r="O23" i="10" l="1"/>
  <c r="P23" i="10"/>
  <c r="AQ10" i="11"/>
  <c r="C25" i="10"/>
  <c r="E24" i="10"/>
  <c r="H24" i="10" s="1"/>
  <c r="I24" i="10" s="1"/>
  <c r="J24" i="10" s="1"/>
  <c r="K24" i="10" s="1"/>
  <c r="AF76" i="11"/>
  <c r="AF78" i="11"/>
  <c r="AR7" i="11"/>
  <c r="AS3" i="11"/>
  <c r="AM66" i="11"/>
  <c r="AN63" i="11"/>
  <c r="AS58" i="11"/>
  <c r="AR62" i="11"/>
  <c r="AS36" i="11"/>
  <c r="AR37" i="11"/>
  <c r="AS13" i="11"/>
  <c r="AR21" i="11"/>
  <c r="AS9" i="11"/>
  <c r="AS5" i="11"/>
  <c r="AR6" i="11"/>
  <c r="AH22" i="11"/>
  <c r="AG26" i="11"/>
  <c r="AG70" i="11" s="1"/>
  <c r="AG72" i="11" s="1"/>
  <c r="AT74" i="12"/>
  <c r="AT75" i="12" s="1"/>
  <c r="AT77" i="12" s="1"/>
  <c r="AU73" i="12"/>
  <c r="AR10" i="11" l="1"/>
  <c r="N24" i="10"/>
  <c r="O24" i="10" s="1"/>
  <c r="D25" i="10"/>
  <c r="L25" i="10"/>
  <c r="M25" i="10" s="1"/>
  <c r="AG76" i="11"/>
  <c r="AG78" i="11"/>
  <c r="AS7" i="11"/>
  <c r="AT3" i="11"/>
  <c r="AT7" i="11" s="1"/>
  <c r="AS21" i="11"/>
  <c r="AT13" i="11"/>
  <c r="AT21" i="11" s="1"/>
  <c r="AT58" i="11"/>
  <c r="AT62" i="11" s="1"/>
  <c r="AS62" i="11"/>
  <c r="AO63" i="11"/>
  <c r="AN66" i="11"/>
  <c r="AT36" i="11"/>
  <c r="AT37" i="11" s="1"/>
  <c r="AS37" i="11"/>
  <c r="AH26" i="11"/>
  <c r="AH70" i="11" s="1"/>
  <c r="AH72" i="11" s="1"/>
  <c r="AI22" i="11"/>
  <c r="AT5" i="11"/>
  <c r="AT9" i="11"/>
  <c r="AS6" i="11"/>
  <c r="AU74" i="12"/>
  <c r="AU75" i="12" s="1"/>
  <c r="AU77" i="12" s="1"/>
  <c r="AV73" i="12"/>
  <c r="P24" i="10" l="1"/>
  <c r="C26" i="10"/>
  <c r="E25" i="10"/>
  <c r="H25" i="10" s="1"/>
  <c r="I25" i="10" s="1"/>
  <c r="J25" i="10" s="1"/>
  <c r="K25" i="10" s="1"/>
  <c r="AH76" i="11"/>
  <c r="W73" i="1" s="1"/>
  <c r="AH78" i="11"/>
  <c r="AS10" i="11"/>
  <c r="AT6" i="11"/>
  <c r="AT10" i="11" s="1"/>
  <c r="AO66" i="11"/>
  <c r="AP63" i="11"/>
  <c r="AI26" i="11"/>
  <c r="AI70" i="11" s="1"/>
  <c r="AI72" i="11" s="1"/>
  <c r="AJ22" i="11"/>
  <c r="AW73" i="12"/>
  <c r="AV74" i="12"/>
  <c r="AV75" i="12" s="1"/>
  <c r="AV77" i="12" s="1"/>
  <c r="N25" i="10" l="1"/>
  <c r="D26" i="10"/>
  <c r="L26" i="10"/>
  <c r="M26" i="10" s="1"/>
  <c r="AI76" i="11"/>
  <c r="W74" i="1" s="1"/>
  <c r="AI78" i="11"/>
  <c r="AP66" i="11"/>
  <c r="AQ63" i="11"/>
  <c r="AJ26" i="11"/>
  <c r="AJ70" i="11" s="1"/>
  <c r="AJ72" i="11" s="1"/>
  <c r="AK22" i="11"/>
  <c r="AX73" i="12"/>
  <c r="AW74" i="12"/>
  <c r="AW75" i="12" s="1"/>
  <c r="AW77" i="12" s="1"/>
  <c r="O25" i="10" l="1"/>
  <c r="P25" i="10"/>
  <c r="C27" i="10"/>
  <c r="E26" i="10"/>
  <c r="H26" i="10" s="1"/>
  <c r="I26" i="10" s="1"/>
  <c r="J26" i="10" s="1"/>
  <c r="K26" i="10" s="1"/>
  <c r="AJ76" i="11"/>
  <c r="W75" i="1" s="1"/>
  <c r="AJ78" i="11"/>
  <c r="AQ66" i="11"/>
  <c r="AR63" i="11"/>
  <c r="AL22" i="11"/>
  <c r="AK26" i="11"/>
  <c r="AK70" i="11" s="1"/>
  <c r="AK72" i="11" s="1"/>
  <c r="AY73" i="12"/>
  <c r="AX74" i="12"/>
  <c r="AX75" i="12" s="1"/>
  <c r="AX77" i="12" s="1"/>
  <c r="N26" i="10" l="1"/>
  <c r="O26" i="10" s="1"/>
  <c r="D27" i="10"/>
  <c r="L27" i="10"/>
  <c r="M27" i="10" s="1"/>
  <c r="AK76" i="11"/>
  <c r="W76" i="1" s="1"/>
  <c r="AK78" i="11"/>
  <c r="AS63" i="11"/>
  <c r="AR66" i="11"/>
  <c r="AM22" i="11"/>
  <c r="AL26" i="11"/>
  <c r="AL70" i="11" s="1"/>
  <c r="AL72" i="11" s="1"/>
  <c r="AZ73" i="12"/>
  <c r="AZ74" i="12" s="1"/>
  <c r="AZ75" i="12" s="1"/>
  <c r="AY74" i="12"/>
  <c r="AY75" i="12" s="1"/>
  <c r="AY77" i="12" s="1"/>
  <c r="P26" i="10" l="1"/>
  <c r="C28" i="10"/>
  <c r="E27" i="10"/>
  <c r="AL76" i="11"/>
  <c r="W77" i="1" s="1"/>
  <c r="X73" i="1" s="1"/>
  <c r="AL78" i="11"/>
  <c r="AS66" i="11"/>
  <c r="AT63" i="11"/>
  <c r="AT66" i="11" s="1"/>
  <c r="AM26" i="11"/>
  <c r="AM70" i="11" s="1"/>
  <c r="AM72" i="11" s="1"/>
  <c r="AN22" i="11"/>
  <c r="B75" i="12"/>
  <c r="AZ77" i="12"/>
  <c r="B77" i="12" s="1"/>
  <c r="L24" i="1" s="1"/>
  <c r="H27" i="10" l="1"/>
  <c r="I27" i="10" s="1"/>
  <c r="J27" i="10" s="1"/>
  <c r="K27" i="10" s="1"/>
  <c r="N27" i="10"/>
  <c r="D28" i="10"/>
  <c r="L28" i="10"/>
  <c r="M28" i="10" s="1"/>
  <c r="AM76" i="11"/>
  <c r="W78" i="1" s="1"/>
  <c r="AM78" i="11"/>
  <c r="AN26" i="11"/>
  <c r="AN70" i="11" s="1"/>
  <c r="AN72" i="11" s="1"/>
  <c r="AO22" i="11"/>
  <c r="B51" i="12"/>
  <c r="K24" i="1"/>
  <c r="E14" i="9"/>
  <c r="O27" i="10" l="1"/>
  <c r="P27" i="10"/>
  <c r="C29" i="10"/>
  <c r="E28" i="10"/>
  <c r="H28" i="10" s="1"/>
  <c r="I28" i="10" s="1"/>
  <c r="J28" i="10" s="1"/>
  <c r="K28" i="10" s="1"/>
  <c r="AN76" i="11"/>
  <c r="W79" i="1" s="1"/>
  <c r="AN78" i="11"/>
  <c r="AP22" i="11"/>
  <c r="AO26" i="11"/>
  <c r="AO70" i="11" s="1"/>
  <c r="AO72" i="11" s="1"/>
  <c r="AN51" i="12"/>
  <c r="G51" i="12"/>
  <c r="V51" i="12"/>
  <c r="AC51" i="12"/>
  <c r="AB51" i="12"/>
  <c r="AY51" i="12"/>
  <c r="S51" i="12"/>
  <c r="R51" i="12"/>
  <c r="Y51" i="12"/>
  <c r="AM51" i="12"/>
  <c r="X51" i="12"/>
  <c r="AE51" i="12"/>
  <c r="AV51" i="12"/>
  <c r="W51" i="12"/>
  <c r="AZ51" i="12"/>
  <c r="AD51" i="12"/>
  <c r="N51" i="12"/>
  <c r="AP51" i="12"/>
  <c r="AK51" i="12"/>
  <c r="U51" i="12"/>
  <c r="E51" i="12"/>
  <c r="AJ51" i="12"/>
  <c r="T51" i="12"/>
  <c r="AX51" i="12"/>
  <c r="AQ51" i="12"/>
  <c r="AA51" i="12"/>
  <c r="K51" i="12"/>
  <c r="AR51" i="12"/>
  <c r="Z51" i="12"/>
  <c r="J51" i="12"/>
  <c r="AW51" i="12"/>
  <c r="AG51" i="12"/>
  <c r="Q51" i="12"/>
  <c r="I51" i="12"/>
  <c r="P51" i="12"/>
  <c r="AU51" i="12"/>
  <c r="H51" i="12"/>
  <c r="AF51" i="12"/>
  <c r="O51" i="12"/>
  <c r="AL51" i="12"/>
  <c r="D51" i="12"/>
  <c r="AS51" i="12"/>
  <c r="M51" i="12"/>
  <c r="AT51" i="12"/>
  <c r="L51" i="12"/>
  <c r="AI51" i="12"/>
  <c r="C51" i="12"/>
  <c r="AH51" i="12"/>
  <c r="F51" i="12"/>
  <c r="AO51" i="12"/>
  <c r="N28" i="10" l="1"/>
  <c r="O28" i="10" s="1"/>
  <c r="D29" i="10"/>
  <c r="L29" i="10"/>
  <c r="M29" i="10" s="1"/>
  <c r="C30" i="10"/>
  <c r="AO76" i="11"/>
  <c r="W80" i="1" s="1"/>
  <c r="AO78" i="11"/>
  <c r="AP26" i="11"/>
  <c r="AP70" i="11" s="1"/>
  <c r="AP72" i="11" s="1"/>
  <c r="AQ22" i="11"/>
  <c r="P28" i="10" l="1"/>
  <c r="C32" i="10"/>
  <c r="E29" i="10"/>
  <c r="AP76" i="11"/>
  <c r="W81" i="1" s="1"/>
  <c r="AP78" i="11"/>
  <c r="AQ26" i="11"/>
  <c r="AQ70" i="11" s="1"/>
  <c r="AQ72" i="11" s="1"/>
  <c r="AR22" i="11"/>
  <c r="H29" i="10" l="1"/>
  <c r="I29" i="10" s="1"/>
  <c r="J29" i="10" s="1"/>
  <c r="K29" i="10" s="1"/>
  <c r="K30" i="10" s="1"/>
  <c r="N29" i="10"/>
  <c r="L32" i="10"/>
  <c r="M32" i="10" s="1"/>
  <c r="D32" i="10"/>
  <c r="AQ76" i="11"/>
  <c r="W82" i="1" s="1"/>
  <c r="X78" i="1" s="1"/>
  <c r="AQ78" i="11"/>
  <c r="AS22" i="11"/>
  <c r="AR26" i="11"/>
  <c r="AR70" i="11" s="1"/>
  <c r="AR72" i="11" s="1"/>
  <c r="O29" i="10" l="1"/>
  <c r="N30" i="10" s="1"/>
  <c r="O30" i="10" s="1"/>
  <c r="N31" i="10" s="1"/>
  <c r="O31" i="10" s="1"/>
  <c r="P29" i="10"/>
  <c r="C33" i="10"/>
  <c r="E32" i="10"/>
  <c r="H32" i="10" s="1"/>
  <c r="I32" i="10" s="1"/>
  <c r="J32" i="10" s="1"/>
  <c r="K32" i="10" s="1"/>
  <c r="AR76" i="11"/>
  <c r="W83" i="1" s="1"/>
  <c r="AR78" i="11"/>
  <c r="AS26" i="11"/>
  <c r="AS70" i="11" s="1"/>
  <c r="AS72" i="11" s="1"/>
  <c r="AT22" i="11"/>
  <c r="AT26" i="11" s="1"/>
  <c r="AT70" i="11" s="1"/>
  <c r="AT72" i="11" s="1"/>
  <c r="P30" i="10" l="1"/>
  <c r="P31" i="10" s="1"/>
  <c r="N32" i="10"/>
  <c r="O32" i="10" s="1"/>
  <c r="D33" i="10"/>
  <c r="L33" i="10"/>
  <c r="M33" i="10" s="1"/>
  <c r="AT76" i="11"/>
  <c r="W85" i="1" s="1"/>
  <c r="AT78" i="11"/>
  <c r="AS76" i="11"/>
  <c r="W84" i="1" s="1"/>
  <c r="AS78" i="11"/>
  <c r="X83" i="1" l="1"/>
  <c r="K56" i="1" s="1"/>
  <c r="L18" i="30" s="1"/>
  <c r="P32" i="10"/>
  <c r="C34" i="10"/>
  <c r="E33" i="10"/>
  <c r="H33" i="10" s="1"/>
  <c r="N33" i="10" l="1"/>
  <c r="O33" i="10" s="1"/>
  <c r="I33" i="10"/>
  <c r="J33" i="10" s="1"/>
  <c r="L34" i="10"/>
  <c r="M34" i="10" s="1"/>
  <c r="D34" i="10"/>
  <c r="K33" i="10" l="1"/>
  <c r="P33" i="10"/>
  <c r="C35" i="10"/>
  <c r="E34" i="10"/>
  <c r="H34" i="10" s="1"/>
  <c r="I34" i="10" s="1"/>
  <c r="J34" i="10" s="1"/>
  <c r="K34" i="10" s="1"/>
  <c r="N34" i="10" l="1"/>
  <c r="O34" i="10" s="1"/>
  <c r="L35" i="10"/>
  <c r="M35" i="10" s="1"/>
  <c r="D35" i="10"/>
  <c r="P34" i="10" l="1"/>
  <c r="C36" i="10"/>
  <c r="E35" i="10"/>
  <c r="H35" i="10" s="1"/>
  <c r="I35" i="10" s="1"/>
  <c r="J35" i="10" s="1"/>
  <c r="K35" i="10" s="1"/>
  <c r="N35" i="10" l="1"/>
  <c r="O35" i="10" s="1"/>
  <c r="D36" i="10"/>
  <c r="L36" i="10"/>
  <c r="M36" i="10" s="1"/>
  <c r="P35" i="10" l="1"/>
  <c r="E36" i="10"/>
  <c r="H36" i="10" s="1"/>
  <c r="C37" i="10"/>
  <c r="N36" i="10" l="1"/>
  <c r="O36" i="10" s="1"/>
  <c r="L37" i="10"/>
  <c r="M37" i="10" s="1"/>
  <c r="D37" i="10"/>
  <c r="I36" i="10"/>
  <c r="J36" i="10" s="1"/>
  <c r="K36" i="10" l="1"/>
  <c r="P36" i="10"/>
  <c r="C38" i="10"/>
  <c r="E37" i="10"/>
  <c r="H37" i="10" s="1"/>
  <c r="I37" i="10" s="1"/>
  <c r="J37" i="10" s="1"/>
  <c r="K37" i="10" s="1"/>
  <c r="N37" i="10" l="1"/>
  <c r="O37" i="10" s="1"/>
  <c r="L38" i="10"/>
  <c r="M38" i="10" s="1"/>
  <c r="D38" i="10"/>
  <c r="P37" i="10" l="1"/>
  <c r="C39" i="10"/>
  <c r="E38" i="10"/>
  <c r="H38" i="10" s="1"/>
  <c r="I38" i="10" s="1"/>
  <c r="J38" i="10" s="1"/>
  <c r="K38" i="10" s="1"/>
  <c r="N38" i="10" l="1"/>
  <c r="O38" i="10" s="1"/>
  <c r="D39" i="10"/>
  <c r="L39" i="10"/>
  <c r="M39" i="10" s="1"/>
  <c r="P38" i="10" l="1"/>
  <c r="C40" i="10"/>
  <c r="E39" i="10"/>
  <c r="H39" i="10" s="1"/>
  <c r="I39" i="10" s="1"/>
  <c r="J39" i="10" s="1"/>
  <c r="K39" i="10" s="1"/>
  <c r="N39" i="10" l="1"/>
  <c r="O39" i="10" s="1"/>
  <c r="D40" i="10"/>
  <c r="L40" i="10"/>
  <c r="M40" i="10" s="1"/>
  <c r="P39" i="10" l="1"/>
  <c r="C41" i="10"/>
  <c r="E40" i="10"/>
  <c r="H40" i="10" s="1"/>
  <c r="I40" i="10" s="1"/>
  <c r="J40" i="10" s="1"/>
  <c r="K40" i="10" s="1"/>
  <c r="N40" i="10" l="1"/>
  <c r="O40" i="10" s="1"/>
  <c r="D41" i="10"/>
  <c r="L41" i="10"/>
  <c r="M41" i="10" s="1"/>
  <c r="P40" i="10" l="1"/>
  <c r="C42" i="10"/>
  <c r="E41" i="10"/>
  <c r="H41" i="10" s="1"/>
  <c r="I41" i="10" s="1"/>
  <c r="J41" i="10" s="1"/>
  <c r="K41" i="10" s="1"/>
  <c r="N41" i="10" l="1"/>
  <c r="O41" i="10" s="1"/>
  <c r="D42" i="10"/>
  <c r="L42" i="10"/>
  <c r="M42" i="10" s="1"/>
  <c r="P41" i="10" l="1"/>
  <c r="C43" i="10"/>
  <c r="E42" i="10"/>
  <c r="H42" i="10" s="1"/>
  <c r="I42" i="10" s="1"/>
  <c r="J42" i="10" s="1"/>
  <c r="K42" i="10" s="1"/>
  <c r="N42" i="10" l="1"/>
  <c r="O42" i="10" s="1"/>
  <c r="L43" i="10"/>
  <c r="M43" i="10" s="1"/>
  <c r="U5" i="9" s="1"/>
  <c r="D43" i="10"/>
  <c r="E43" i="10" s="1"/>
  <c r="C44" i="10"/>
  <c r="H43" i="10" l="1"/>
  <c r="I43" i="10" s="1"/>
  <c r="J43" i="10" s="1"/>
  <c r="R32" i="1"/>
  <c r="N43" i="10"/>
  <c r="O43" i="10" s="1"/>
  <c r="V6" i="9" s="1"/>
  <c r="P42" i="10"/>
  <c r="P43" i="10" l="1"/>
  <c r="U6" i="9" s="1"/>
  <c r="F12" i="12"/>
  <c r="E12" i="12"/>
  <c r="T12" i="12"/>
  <c r="AM12" i="12"/>
  <c r="AT12" i="12"/>
  <c r="D12" i="12"/>
  <c r="W12" i="12"/>
  <c r="S12" i="12"/>
  <c r="AB12" i="12"/>
  <c r="AJ12" i="12"/>
  <c r="C12" i="12"/>
  <c r="AI12" i="12"/>
  <c r="AQ12" i="12"/>
  <c r="I12" i="12"/>
  <c r="AP12" i="12"/>
  <c r="H12" i="12"/>
  <c r="O12" i="12"/>
  <c r="X12" i="12"/>
  <c r="AF12" i="12"/>
  <c r="V12" i="12"/>
  <c r="Y12" i="12"/>
  <c r="AR12" i="12"/>
  <c r="AO12" i="12"/>
  <c r="AU12" i="12"/>
  <c r="AN12" i="12"/>
  <c r="AX12" i="12"/>
  <c r="AL12" i="12"/>
  <c r="L12" i="12"/>
  <c r="AD12" i="12"/>
  <c r="AK12" i="12"/>
  <c r="N12" i="12"/>
  <c r="K12" i="12"/>
  <c r="AV12" i="12"/>
  <c r="AA12" i="12"/>
  <c r="AW12" i="12"/>
  <c r="AH12" i="12"/>
  <c r="U12" i="12"/>
  <c r="Q12" i="12"/>
  <c r="J12" i="12"/>
  <c r="AS12" i="12"/>
  <c r="AY12" i="12"/>
  <c r="AG12" i="12"/>
  <c r="AZ12" i="12"/>
  <c r="P12" i="12"/>
  <c r="R33" i="1"/>
  <c r="G12" i="12"/>
  <c r="AC12" i="12"/>
  <c r="R12" i="12"/>
  <c r="M12" i="12"/>
  <c r="Z12" i="12"/>
  <c r="AE12" i="12"/>
  <c r="K43" i="10"/>
  <c r="K44" i="10" s="1"/>
  <c r="F3" i="8" l="1"/>
  <c r="G2" i="11"/>
  <c r="H2" i="11" s="1"/>
  <c r="I2" i="11" s="1"/>
  <c r="J2" i="11" s="1"/>
  <c r="K2" i="11" s="1"/>
  <c r="L2" i="11" s="1"/>
  <c r="M2" i="11" s="1"/>
  <c r="N2" i="11" s="1"/>
  <c r="O2" i="11" s="1"/>
  <c r="P2" i="11" s="1"/>
  <c r="Q2" i="11" s="1"/>
  <c r="R2" i="11" s="1"/>
  <c r="S2" i="11" s="1"/>
  <c r="T2" i="11" s="1"/>
  <c r="U2" i="11" s="1"/>
  <c r="V2" i="11" s="1"/>
  <c r="W2" i="11" s="1"/>
  <c r="X2" i="11" s="1"/>
  <c r="Y2" i="11" s="1"/>
  <c r="Z2" i="11" s="1"/>
  <c r="AA2" i="11" s="1"/>
  <c r="AB2" i="11" s="1"/>
  <c r="AC2" i="11" s="1"/>
  <c r="AD2" i="11" s="1"/>
  <c r="AE2" i="11" s="1"/>
  <c r="AF2" i="11" s="1"/>
  <c r="AG2" i="11" s="1"/>
  <c r="AH2" i="11" s="1"/>
  <c r="AI2" i="11" s="1"/>
  <c r="AJ2" i="11" s="1"/>
  <c r="AK2" i="11" s="1"/>
  <c r="AL2" i="11" s="1"/>
  <c r="AM2" i="11" s="1"/>
  <c r="AN2" i="11" s="1"/>
  <c r="AO2" i="11" s="1"/>
  <c r="AP2" i="11" s="1"/>
  <c r="AQ2" i="11" s="1"/>
  <c r="AR2" i="11" s="1"/>
  <c r="AS2" i="11" s="1"/>
  <c r="AT2" i="11" s="1"/>
  <c r="K45" i="10"/>
  <c r="E120" i="2" s="1"/>
  <c r="D120" i="2" s="1"/>
  <c r="V18" i="39" s="1"/>
  <c r="R31" i="1"/>
  <c r="F2" i="11" l="1"/>
  <c r="E37" i="30" s="1"/>
  <c r="E3" i="8"/>
  <c r="G120" i="2"/>
  <c r="D127" i="2"/>
  <c r="C118" i="5"/>
  <c r="D118" i="5" s="1"/>
  <c r="I120" i="2"/>
  <c r="J120" i="2"/>
  <c r="J127" i="2" s="1"/>
  <c r="K120" i="2"/>
  <c r="K127" i="2" s="1"/>
  <c r="F43" i="39" l="1"/>
  <c r="G43" i="39" s="1"/>
  <c r="J52" i="39"/>
  <c r="U114" i="2"/>
  <c r="U115" i="2"/>
  <c r="E2" i="11"/>
  <c r="D37" i="30" s="1"/>
  <c r="D3" i="8"/>
  <c r="D2" i="11" s="1"/>
  <c r="C37" i="30" s="1"/>
  <c r="N120" i="2"/>
  <c r="N127" i="2" s="1"/>
  <c r="R120" i="2"/>
  <c r="R127" i="2" s="1"/>
  <c r="M120" i="2"/>
  <c r="M127" i="2" s="1"/>
  <c r="I127" i="2"/>
  <c r="S120" i="2"/>
  <c r="L120" i="2"/>
  <c r="L127" i="2" s="1"/>
  <c r="E118" i="5"/>
  <c r="E125" i="5" s="1"/>
  <c r="D125" i="5"/>
  <c r="D131" i="5" s="1"/>
  <c r="F118" i="5" s="1"/>
  <c r="E35" i="9"/>
  <c r="G127" i="2"/>
  <c r="C125" i="5"/>
  <c r="E114" i="2" l="1"/>
  <c r="T120" i="2"/>
  <c r="G35" i="9"/>
  <c r="I35" i="9"/>
  <c r="Q120" i="2"/>
  <c r="Q127" i="2" s="1"/>
  <c r="F124" i="5"/>
  <c r="F103" i="5"/>
  <c r="F73" i="5"/>
  <c r="F8" i="5"/>
  <c r="F22" i="5"/>
  <c r="F26" i="5"/>
  <c r="F59" i="5"/>
  <c r="F42" i="5"/>
  <c r="F102" i="5"/>
  <c r="F27" i="5"/>
  <c r="F52" i="5"/>
  <c r="F55" i="5"/>
  <c r="F82" i="5"/>
  <c r="F12" i="5"/>
  <c r="F57" i="5"/>
  <c r="F21" i="5"/>
  <c r="F76" i="5"/>
  <c r="F5" i="5"/>
  <c r="F94" i="5"/>
  <c r="F109" i="5"/>
  <c r="F61" i="5"/>
  <c r="F81" i="5"/>
  <c r="F96" i="5"/>
  <c r="F18" i="5"/>
  <c r="F72" i="5"/>
  <c r="F39" i="5"/>
  <c r="F90" i="5"/>
  <c r="F37" i="5"/>
  <c r="F54" i="5"/>
  <c r="F62" i="5"/>
  <c r="F58" i="5"/>
  <c r="F17" i="5"/>
  <c r="F14" i="5"/>
  <c r="F4" i="5"/>
  <c r="F112" i="5"/>
  <c r="F9" i="5"/>
  <c r="F71" i="5"/>
  <c r="F10" i="5"/>
  <c r="F100" i="5"/>
  <c r="F115" i="5"/>
  <c r="F36" i="5"/>
  <c r="F11" i="5"/>
  <c r="F47" i="5"/>
  <c r="F127" i="5"/>
  <c r="F34" i="5"/>
  <c r="F89" i="5"/>
  <c r="F110" i="5"/>
  <c r="F66" i="5"/>
  <c r="F70" i="5"/>
  <c r="F64" i="5"/>
  <c r="F41" i="5"/>
  <c r="F99" i="5"/>
  <c r="F38" i="5"/>
  <c r="F123" i="5"/>
  <c r="F7" i="5"/>
  <c r="F107" i="5"/>
  <c r="F31" i="5"/>
  <c r="F15" i="5"/>
  <c r="F46" i="5"/>
  <c r="F67" i="5"/>
  <c r="F85" i="5"/>
  <c r="F53" i="5"/>
  <c r="F122" i="5"/>
  <c r="F126" i="5"/>
  <c r="F65" i="5"/>
  <c r="F104" i="5"/>
  <c r="F77" i="5"/>
  <c r="F45" i="5"/>
  <c r="F68" i="5"/>
  <c r="F35" i="5"/>
  <c r="F51" i="5"/>
  <c r="F92" i="5"/>
  <c r="F105" i="5"/>
  <c r="F49" i="5"/>
  <c r="F19" i="5"/>
  <c r="F23" i="5"/>
  <c r="F60" i="5"/>
  <c r="F63" i="5"/>
  <c r="F86" i="5"/>
  <c r="F97" i="5"/>
  <c r="F120" i="5"/>
  <c r="F121" i="5"/>
  <c r="F16" i="5"/>
  <c r="F114" i="5"/>
  <c r="F129" i="5"/>
  <c r="F93" i="5"/>
  <c r="F87" i="5"/>
  <c r="F128" i="5"/>
  <c r="F29" i="5"/>
  <c r="F33" i="5"/>
  <c r="F50" i="5"/>
  <c r="F69" i="5"/>
  <c r="F108" i="5"/>
  <c r="F24" i="5"/>
  <c r="F83" i="5"/>
  <c r="F74" i="5"/>
  <c r="F75" i="5"/>
  <c r="F30" i="5"/>
  <c r="F88" i="5"/>
  <c r="F25" i="5"/>
  <c r="F43" i="5"/>
  <c r="F113" i="5"/>
  <c r="F116" i="5"/>
  <c r="F28" i="5"/>
  <c r="F79" i="5"/>
  <c r="F80" i="5"/>
  <c r="F119" i="5"/>
  <c r="F98" i="5"/>
  <c r="F91" i="5"/>
  <c r="F6" i="5"/>
  <c r="F84" i="5"/>
  <c r="F44" i="5"/>
  <c r="D114" i="2" l="1"/>
  <c r="J50" i="39" s="1"/>
  <c r="J54" i="39" s="1"/>
  <c r="F95" i="5"/>
  <c r="F20" i="5"/>
  <c r="F125" i="5"/>
  <c r="F106" i="5"/>
  <c r="F130" i="5"/>
  <c r="F111" i="5"/>
  <c r="F32" i="5"/>
  <c r="F48" i="5"/>
  <c r="F117" i="5"/>
  <c r="F101" i="5"/>
  <c r="F78" i="5"/>
  <c r="F40" i="5"/>
  <c r="F56" i="5"/>
  <c r="F13" i="5"/>
  <c r="K114" i="2" l="1"/>
  <c r="K119" i="2" s="1"/>
  <c r="K133" i="2" s="1"/>
  <c r="G40" i="9" s="1"/>
  <c r="G114" i="2"/>
  <c r="I114" i="2"/>
  <c r="M114" i="2" s="1"/>
  <c r="M119" i="2" s="1"/>
  <c r="M133" i="2" s="1"/>
  <c r="D119" i="2"/>
  <c r="C112" i="5"/>
  <c r="E112" i="5" s="1"/>
  <c r="E117" i="5" s="1"/>
  <c r="E131" i="5" s="1"/>
  <c r="J114" i="2"/>
  <c r="J119" i="2" s="1"/>
  <c r="J133" i="2" s="1"/>
  <c r="G39" i="9" s="1"/>
  <c r="F131" i="5"/>
  <c r="Q9" i="39" l="1"/>
  <c r="F46" i="39"/>
  <c r="G46" i="39" s="1"/>
  <c r="D17" i="30"/>
  <c r="F17" i="30" s="1"/>
  <c r="R114" i="2"/>
  <c r="R119" i="2" s="1"/>
  <c r="R133" i="2" s="1"/>
  <c r="E34" i="9"/>
  <c r="G119" i="2"/>
  <c r="C117" i="5"/>
  <c r="D133" i="2"/>
  <c r="J15" i="42" s="1"/>
  <c r="I119" i="2"/>
  <c r="I133" i="2" s="1"/>
  <c r="I38" i="9" s="1"/>
  <c r="I41" i="9" s="1"/>
  <c r="N114" i="2"/>
  <c r="N119" i="2" s="1"/>
  <c r="N133" i="2" s="1"/>
  <c r="L114" i="2"/>
  <c r="S114" i="2" s="1"/>
  <c r="T114" i="2" s="1"/>
  <c r="T133" i="2" s="1"/>
  <c r="B52" i="12" s="1"/>
  <c r="AE52" i="12" s="1"/>
  <c r="F12" i="37" l="1"/>
  <c r="H14" i="41"/>
  <c r="V8" i="39"/>
  <c r="V21" i="39" s="1"/>
  <c r="D18" i="30"/>
  <c r="G15" i="30" s="1"/>
  <c r="AB4" i="39"/>
  <c r="G48" i="39"/>
  <c r="G50" i="39" s="1"/>
  <c r="G53" i="39" s="1"/>
  <c r="F48" i="39"/>
  <c r="E4" i="7"/>
  <c r="E56" i="7"/>
  <c r="E14" i="7"/>
  <c r="E59" i="7"/>
  <c r="E68" i="7"/>
  <c r="E57" i="7"/>
  <c r="E7" i="7"/>
  <c r="E5" i="7"/>
  <c r="E62" i="7"/>
  <c r="E20" i="7"/>
  <c r="E21" i="7"/>
  <c r="E8" i="7"/>
  <c r="E11" i="7"/>
  <c r="E9" i="7"/>
  <c r="E19" i="7"/>
  <c r="E51" i="7"/>
  <c r="C131" i="5"/>
  <c r="E133" i="5" s="1"/>
  <c r="E22" i="7"/>
  <c r="E3" i="7"/>
  <c r="B48" i="12"/>
  <c r="AI48" i="12" s="1"/>
  <c r="E53" i="7"/>
  <c r="E61" i="7"/>
  <c r="E12" i="7"/>
  <c r="E13" i="7"/>
  <c r="E65" i="7"/>
  <c r="E64" i="7"/>
  <c r="E15" i="7"/>
  <c r="E60" i="7"/>
  <c r="E66" i="7"/>
  <c r="G133" i="2"/>
  <c r="K53" i="1" s="1"/>
  <c r="E18" i="7"/>
  <c r="E58" i="7"/>
  <c r="E17" i="7"/>
  <c r="E63" i="7"/>
  <c r="E67" i="7"/>
  <c r="E54" i="7"/>
  <c r="E50" i="7"/>
  <c r="E10" i="7"/>
  <c r="E52" i="7"/>
  <c r="E16" i="7"/>
  <c r="E55" i="7"/>
  <c r="K52" i="1"/>
  <c r="E6" i="7"/>
  <c r="I34" i="9"/>
  <c r="E36" i="9"/>
  <c r="G34" i="9"/>
  <c r="AJ52" i="12"/>
  <c r="P52" i="12"/>
  <c r="Q114" i="2"/>
  <c r="Q119" i="2" s="1"/>
  <c r="Q133" i="2" s="1"/>
  <c r="E52" i="12"/>
  <c r="AY52" i="12"/>
  <c r="AT52" i="12"/>
  <c r="AF52" i="12"/>
  <c r="T52" i="12"/>
  <c r="L119" i="2"/>
  <c r="L133" i="2" s="1"/>
  <c r="B49" i="12" s="1"/>
  <c r="AW49" i="12" s="1"/>
  <c r="Q52" i="12"/>
  <c r="AH52" i="12"/>
  <c r="AS52" i="12"/>
  <c r="V52" i="12"/>
  <c r="AZ52" i="12"/>
  <c r="I52" i="12"/>
  <c r="AO52" i="12"/>
  <c r="AU52" i="12"/>
  <c r="X52" i="12"/>
  <c r="AV52" i="12"/>
  <c r="N52" i="12"/>
  <c r="K52" i="12"/>
  <c r="AW52" i="12"/>
  <c r="M52" i="12"/>
  <c r="C52" i="12"/>
  <c r="AG52" i="12"/>
  <c r="AI52" i="12"/>
  <c r="AA52" i="12"/>
  <c r="AR52" i="12"/>
  <c r="Y52" i="12"/>
  <c r="J52" i="12"/>
  <c r="AC52" i="12"/>
  <c r="S52" i="12"/>
  <c r="W52" i="12"/>
  <c r="D52" i="12"/>
  <c r="AD52" i="12"/>
  <c r="AM52" i="12"/>
  <c r="R52" i="12"/>
  <c r="AN52" i="12"/>
  <c r="AQ52" i="12"/>
  <c r="G52" i="12"/>
  <c r="AL52" i="12"/>
  <c r="Z52" i="12"/>
  <c r="AP52" i="12"/>
  <c r="AB52" i="12"/>
  <c r="H52" i="12"/>
  <c r="U52" i="12"/>
  <c r="AX52" i="12"/>
  <c r="F52" i="12"/>
  <c r="O52" i="12"/>
  <c r="L52" i="12"/>
  <c r="AK52" i="12"/>
  <c r="G14" i="30"/>
  <c r="H15" i="41" l="1"/>
  <c r="H20" i="41" s="1"/>
  <c r="J16" i="42"/>
  <c r="J20" i="42" s="1"/>
  <c r="F18" i="30"/>
  <c r="Q8" i="39"/>
  <c r="Q10" i="39" s="1"/>
  <c r="D16" i="30"/>
  <c r="G16" i="30" s="1"/>
  <c r="G17" i="30"/>
  <c r="G18" i="30"/>
  <c r="AB9" i="39"/>
  <c r="AC10" i="39" s="1"/>
  <c r="AC12" i="39" s="1"/>
  <c r="AB13" i="39" s="1"/>
  <c r="AB17" i="39"/>
  <c r="AB19" i="39" s="1"/>
  <c r="F50" i="39"/>
  <c r="G52" i="39" s="1"/>
  <c r="P48" i="12"/>
  <c r="L48" i="12"/>
  <c r="AZ48" i="12"/>
  <c r="R48" i="12"/>
  <c r="AJ48" i="12"/>
  <c r="AB48" i="12"/>
  <c r="J48" i="12"/>
  <c r="AO48" i="12"/>
  <c r="AY48" i="12"/>
  <c r="AV48" i="12"/>
  <c r="G48" i="12"/>
  <c r="AC48" i="12"/>
  <c r="AW48" i="12"/>
  <c r="AW53" i="12" s="1"/>
  <c r="M48" i="12"/>
  <c r="AN48" i="12"/>
  <c r="AS48" i="12"/>
  <c r="E48" i="12"/>
  <c r="AU48" i="12"/>
  <c r="I48" i="12"/>
  <c r="W48" i="12"/>
  <c r="C48" i="12"/>
  <c r="N48" i="12"/>
  <c r="AP48" i="12"/>
  <c r="AM48" i="12"/>
  <c r="U48" i="12"/>
  <c r="AL48" i="12"/>
  <c r="K48" i="12"/>
  <c r="AT48" i="12"/>
  <c r="AH48" i="12"/>
  <c r="S48" i="12"/>
  <c r="Z48" i="12"/>
  <c r="AX48" i="12"/>
  <c r="AE48" i="12"/>
  <c r="H48" i="12"/>
  <c r="O48" i="12"/>
  <c r="T48" i="12"/>
  <c r="AQ48" i="12"/>
  <c r="R49" i="12"/>
  <c r="AD48" i="12"/>
  <c r="AR48" i="12"/>
  <c r="AG48" i="12"/>
  <c r="F48" i="12"/>
  <c r="AF48" i="12"/>
  <c r="V48" i="12"/>
  <c r="Q48" i="12"/>
  <c r="AA48" i="12"/>
  <c r="Y48" i="12"/>
  <c r="AK48" i="12"/>
  <c r="D48" i="12"/>
  <c r="X48" i="12"/>
  <c r="AD49" i="12"/>
  <c r="S49" i="12"/>
  <c r="C133" i="5"/>
  <c r="M49" i="12"/>
  <c r="G49" i="12"/>
  <c r="AM49" i="12"/>
  <c r="AU49" i="12"/>
  <c r="AX49" i="12"/>
  <c r="N49" i="12"/>
  <c r="J49" i="12"/>
  <c r="AQ49" i="12"/>
  <c r="C49" i="12"/>
  <c r="AR49" i="12"/>
  <c r="AG49" i="12"/>
  <c r="D133" i="5"/>
  <c r="AY49" i="12"/>
  <c r="AI49" i="12"/>
  <c r="AI53" i="12" s="1"/>
  <c r="AZ49" i="12"/>
  <c r="AJ49" i="12"/>
  <c r="AK49" i="12"/>
  <c r="O49" i="12"/>
  <c r="F49" i="12"/>
  <c r="AL49" i="12"/>
  <c r="AC49" i="12"/>
  <c r="T49" i="12"/>
  <c r="AB49" i="12"/>
  <c r="AF49" i="12"/>
  <c r="H49" i="12"/>
  <c r="F133" i="5"/>
  <c r="Y49" i="12"/>
  <c r="I36" i="9"/>
  <c r="G36" i="9"/>
  <c r="Z49" i="12"/>
  <c r="Q49" i="12"/>
  <c r="G38" i="9"/>
  <c r="G41" i="9" s="1"/>
  <c r="AV49" i="12"/>
  <c r="P49" i="12"/>
  <c r="E49" i="12"/>
  <c r="I49" i="12"/>
  <c r="AT49" i="12"/>
  <c r="K49" i="12"/>
  <c r="D49" i="12"/>
  <c r="AP49" i="12"/>
  <c r="AN49" i="12"/>
  <c r="L49" i="12"/>
  <c r="V49" i="12"/>
  <c r="U49" i="12"/>
  <c r="U53" i="12" s="1"/>
  <c r="AH49" i="12"/>
  <c r="AA49" i="12"/>
  <c r="AE49" i="12"/>
  <c r="W49" i="12"/>
  <c r="AS49" i="12"/>
  <c r="X49" i="12"/>
  <c r="AO49" i="12"/>
  <c r="J23" i="42" l="1"/>
  <c r="J21" i="42"/>
  <c r="H21" i="41"/>
  <c r="G40" i="41" s="1"/>
  <c r="K53" i="12"/>
  <c r="F16" i="30"/>
  <c r="AB21" i="39"/>
  <c r="P53" i="12"/>
  <c r="N53" i="12"/>
  <c r="AV53" i="12"/>
  <c r="L53" i="12"/>
  <c r="AO53" i="12"/>
  <c r="AJ53" i="12"/>
  <c r="AU53" i="12"/>
  <c r="AM53" i="12"/>
  <c r="AZ53" i="12"/>
  <c r="R53" i="12"/>
  <c r="C53" i="12"/>
  <c r="C56" i="12" s="1"/>
  <c r="B56" i="12" s="1"/>
  <c r="B58" i="12" s="1"/>
  <c r="K16" i="1" s="1"/>
  <c r="AN53" i="12"/>
  <c r="E53" i="12"/>
  <c r="AB53" i="12"/>
  <c r="J53" i="12"/>
  <c r="AY53" i="12"/>
  <c r="M53" i="12"/>
  <c r="AC53" i="12"/>
  <c r="G53" i="12"/>
  <c r="AS53" i="12"/>
  <c r="I53" i="12"/>
  <c r="AE53" i="12"/>
  <c r="W53" i="12"/>
  <c r="AL53" i="12"/>
  <c r="H53" i="12"/>
  <c r="S53" i="12"/>
  <c r="AP53" i="12"/>
  <c r="Z53" i="12"/>
  <c r="AT53" i="12"/>
  <c r="AQ53" i="12"/>
  <c r="AH53" i="12"/>
  <c r="O53" i="12"/>
  <c r="AX53" i="12"/>
  <c r="F53" i="12"/>
  <c r="AK53" i="12"/>
  <c r="AR53" i="12"/>
  <c r="T53" i="12"/>
  <c r="Y53" i="12"/>
  <c r="AD53" i="12"/>
  <c r="X53" i="12"/>
  <c r="AA53" i="12"/>
  <c r="D53" i="12"/>
  <c r="Q53" i="12"/>
  <c r="AG53" i="12"/>
  <c r="AF53" i="12"/>
  <c r="V53" i="12"/>
  <c r="H28" i="42" l="1"/>
  <c r="H29" i="42"/>
  <c r="H32" i="42"/>
  <c r="H30" i="42"/>
  <c r="H35" i="42"/>
  <c r="H34" i="42"/>
  <c r="H36" i="42"/>
  <c r="H27" i="42"/>
  <c r="H31" i="42"/>
  <c r="H33" i="42"/>
  <c r="E28" i="42"/>
  <c r="F28" i="42" s="1"/>
  <c r="F64" i="42" s="1"/>
  <c r="F74" i="42" s="1"/>
  <c r="E34" i="42"/>
  <c r="F34" i="42" s="1"/>
  <c r="E70" i="42" s="1"/>
  <c r="E27" i="42"/>
  <c r="F27" i="42" s="1"/>
  <c r="E63" i="42" s="1"/>
  <c r="E29" i="42"/>
  <c r="F29" i="42" s="1"/>
  <c r="E36" i="42"/>
  <c r="F36" i="42" s="1"/>
  <c r="E72" i="42" s="1"/>
  <c r="E32" i="42"/>
  <c r="F32" i="42" s="1"/>
  <c r="E68" i="42" s="1"/>
  <c r="E33" i="42"/>
  <c r="F33" i="42" s="1"/>
  <c r="E69" i="42" s="1"/>
  <c r="E31" i="42"/>
  <c r="F31" i="42" s="1"/>
  <c r="E30" i="42"/>
  <c r="F30" i="42" s="1"/>
  <c r="E35" i="42"/>
  <c r="F35" i="42" s="1"/>
  <c r="E71" i="42" s="1"/>
  <c r="G37" i="41"/>
  <c r="G41" i="41"/>
  <c r="G24" i="41"/>
  <c r="G36" i="41"/>
  <c r="G34" i="41"/>
  <c r="G30" i="41"/>
  <c r="G28" i="41"/>
  <c r="G29" i="41"/>
  <c r="G32" i="41"/>
  <c r="G38" i="41"/>
  <c r="G43" i="41"/>
  <c r="G39" i="41"/>
  <c r="G42" i="41"/>
  <c r="G31" i="41"/>
  <c r="G26" i="41"/>
  <c r="G25" i="41"/>
  <c r="G35" i="41"/>
  <c r="G33" i="41"/>
  <c r="G27" i="41"/>
  <c r="C58" i="12"/>
  <c r="C59" i="12" s="1"/>
  <c r="C60" i="12" s="1"/>
  <c r="B29" i="12"/>
  <c r="B53" i="12"/>
  <c r="I27" i="42" l="1"/>
  <c r="I28" i="42"/>
  <c r="E67" i="42"/>
  <c r="I67" i="42"/>
  <c r="I74" i="42" s="1"/>
  <c r="F47" i="42" s="1"/>
  <c r="J48" i="42" s="1"/>
  <c r="J53" i="42" s="1"/>
  <c r="E66" i="42"/>
  <c r="E74" i="42" s="1"/>
  <c r="H66" i="42"/>
  <c r="H65" i="42"/>
  <c r="G65" i="42"/>
  <c r="G74" i="42" s="1"/>
  <c r="I30" i="42"/>
  <c r="I36" i="42"/>
  <c r="I32" i="42"/>
  <c r="I33" i="42"/>
  <c r="I34" i="42"/>
  <c r="I29" i="42"/>
  <c r="I31" i="42"/>
  <c r="I35" i="42"/>
  <c r="H45" i="41"/>
  <c r="H47" i="41" s="1"/>
  <c r="H60" i="41" s="1"/>
  <c r="H62" i="41" s="1"/>
  <c r="B59" i="12"/>
  <c r="B30" i="12" s="1"/>
  <c r="E12" i="9" s="1"/>
  <c r="C25" i="12"/>
  <c r="B25" i="12" s="1"/>
  <c r="C64" i="12"/>
  <c r="C67" i="12" s="1"/>
  <c r="H74" i="42" l="1"/>
  <c r="J37" i="42"/>
  <c r="J39" i="42" s="1"/>
  <c r="J52" i="42" s="1"/>
  <c r="J54" i="42" s="1"/>
  <c r="C63" i="12"/>
  <c r="B63" i="12" s="1"/>
  <c r="F34" i="10"/>
  <c r="F43" i="10"/>
  <c r="F4" i="10"/>
  <c r="F11" i="10"/>
  <c r="F38" i="10"/>
  <c r="B60" i="12"/>
  <c r="F35" i="10"/>
  <c r="F5" i="10"/>
  <c r="F23" i="10"/>
  <c r="F25" i="10"/>
  <c r="F9" i="10"/>
  <c r="F12" i="10"/>
  <c r="F41" i="10"/>
  <c r="F14" i="10"/>
  <c r="F40" i="10"/>
  <c r="F21" i="10"/>
  <c r="F32" i="10"/>
  <c r="F19" i="10"/>
  <c r="F24" i="10"/>
  <c r="F20" i="10"/>
  <c r="F29" i="10"/>
  <c r="F28" i="10"/>
  <c r="F22" i="10"/>
  <c r="F15" i="10"/>
  <c r="F7" i="10"/>
  <c r="F13" i="10"/>
  <c r="B64" i="12"/>
  <c r="B67" i="12" s="1"/>
  <c r="F36" i="10"/>
  <c r="F8" i="10"/>
  <c r="F6" i="10"/>
  <c r="F10" i="10"/>
  <c r="F42" i="10"/>
  <c r="F33" i="10"/>
  <c r="F18" i="10"/>
  <c r="K17" i="1"/>
  <c r="J32" i="37" s="1"/>
  <c r="J34" i="37" s="1"/>
  <c r="J36" i="37" s="1"/>
  <c r="F37" i="10"/>
  <c r="F39" i="10"/>
  <c r="F27" i="10"/>
  <c r="F26" i="10"/>
  <c r="F16" i="10" l="1"/>
  <c r="L17" i="1"/>
  <c r="L25" i="1" s="1"/>
  <c r="J53" i="9" s="1"/>
  <c r="J54" i="9" s="1"/>
  <c r="J43" i="9" s="1"/>
  <c r="B3" i="35"/>
  <c r="D88" i="35" s="1"/>
  <c r="E90" i="35" s="1"/>
  <c r="E91" i="35" s="1"/>
  <c r="F44" i="10"/>
  <c r="F30" i="10"/>
  <c r="D69" i="7" l="1"/>
  <c r="J17" i="37"/>
  <c r="J31" i="37" s="1"/>
  <c r="J37" i="37" s="1"/>
  <c r="F13" i="37" s="1"/>
  <c r="D23" i="7"/>
  <c r="C31" i="30" s="1"/>
  <c r="D70" i="7" l="1"/>
  <c r="H70" i="7" s="1"/>
  <c r="F24" i="39"/>
  <c r="E69" i="7"/>
  <c r="H31" i="30"/>
  <c r="E23" i="7"/>
  <c r="D24" i="7"/>
  <c r="C26" i="30" s="1"/>
  <c r="C32" i="30" s="1"/>
  <c r="E70" i="7" l="1"/>
  <c r="H26" i="30"/>
  <c r="H32" i="30" s="1"/>
  <c r="F25" i="39"/>
  <c r="E24" i="7"/>
  <c r="H24" i="7"/>
  <c r="G6" i="39" l="1"/>
  <c r="G10" i="39"/>
  <c r="G14" i="39"/>
  <c r="G18" i="39"/>
  <c r="G22" i="39"/>
  <c r="G7" i="39"/>
  <c r="G11" i="39"/>
  <c r="G15" i="39"/>
  <c r="G19" i="39"/>
  <c r="G23" i="39"/>
  <c r="G9" i="39"/>
  <c r="G17" i="39"/>
  <c r="G8" i="39"/>
  <c r="G12" i="39"/>
  <c r="G16" i="39"/>
  <c r="G20" i="39"/>
  <c r="G13" i="39"/>
  <c r="G21" i="39"/>
  <c r="G5" i="39"/>
  <c r="G24" i="39"/>
  <c r="G25" i="3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dh00024</author>
  </authors>
  <commentList>
    <comment ref="B2" authorId="0" shapeId="0" xr:uid="{00000000-0006-0000-0000-000001000000}">
      <text>
        <r>
          <rPr>
            <b/>
            <sz val="8"/>
            <color indexed="81"/>
            <rFont val="Tahoma"/>
            <family val="2"/>
          </rPr>
          <t>dh00024:</t>
        </r>
        <r>
          <rPr>
            <sz val="8"/>
            <color indexed="81"/>
            <rFont val="Tahoma"/>
            <family val="2"/>
          </rPr>
          <t xml:space="preserve">
</t>
        </r>
      </text>
    </comment>
    <comment ref="B3" authorId="0" shapeId="0" xr:uid="{00000000-0006-0000-0000-000002000000}">
      <text>
        <r>
          <rPr>
            <b/>
            <sz val="8"/>
            <color indexed="81"/>
            <rFont val="Tahoma"/>
            <family val="2"/>
          </rPr>
          <t>dh00024:</t>
        </r>
        <r>
          <rPr>
            <sz val="8"/>
            <color indexed="81"/>
            <rFont val="Tahoma"/>
            <family val="2"/>
          </rPr>
          <t xml:space="preserve">
</t>
        </r>
      </text>
    </comment>
    <comment ref="B4" authorId="0" shapeId="0" xr:uid="{00000000-0006-0000-0000-000003000000}">
      <text>
        <r>
          <rPr>
            <b/>
            <sz val="8"/>
            <color indexed="81"/>
            <rFont val="Tahoma"/>
            <family val="2"/>
          </rPr>
          <t>dh00024:</t>
        </r>
        <r>
          <rPr>
            <sz val="8"/>
            <color indexed="81"/>
            <rFont val="Tahoma"/>
            <family val="2"/>
          </rPr>
          <t xml:space="preserve">
</t>
        </r>
      </text>
    </comment>
    <comment ref="E10" authorId="0" shapeId="0" xr:uid="{00000000-0006-0000-0000-000004000000}">
      <text>
        <r>
          <rPr>
            <b/>
            <sz val="8"/>
            <color indexed="81"/>
            <rFont val="Tahoma"/>
            <family val="2"/>
          </rPr>
          <t>dh00024:</t>
        </r>
        <r>
          <rPr>
            <sz val="8"/>
            <color indexed="81"/>
            <rFont val="Tahoma"/>
            <family val="2"/>
          </rPr>
          <t xml:space="preserve">
</t>
        </r>
      </text>
    </comment>
    <comment ref="F10" authorId="0" shapeId="0" xr:uid="{00000000-0006-0000-0000-000005000000}">
      <text>
        <r>
          <rPr>
            <b/>
            <sz val="8"/>
            <color indexed="81"/>
            <rFont val="Tahoma"/>
            <family val="2"/>
          </rPr>
          <t>dh00024:</t>
        </r>
        <r>
          <rPr>
            <sz val="8"/>
            <color indexed="81"/>
            <rFont val="Tahoma"/>
            <family val="2"/>
          </rPr>
          <t xml:space="preserve">
</t>
        </r>
      </text>
    </comment>
    <comment ref="E11" authorId="0" shapeId="0" xr:uid="{00000000-0006-0000-0000-000006000000}">
      <text>
        <r>
          <rPr>
            <b/>
            <sz val="8"/>
            <color indexed="81"/>
            <rFont val="Tahoma"/>
            <family val="2"/>
          </rPr>
          <t>dh00024:</t>
        </r>
        <r>
          <rPr>
            <sz val="8"/>
            <color indexed="81"/>
            <rFont val="Tahoma"/>
            <family val="2"/>
          </rPr>
          <t xml:space="preserve">
</t>
        </r>
      </text>
    </comment>
    <comment ref="F11" authorId="0" shapeId="0" xr:uid="{00000000-0006-0000-0000-000007000000}">
      <text>
        <r>
          <rPr>
            <b/>
            <sz val="8"/>
            <color indexed="81"/>
            <rFont val="Tahoma"/>
            <family val="2"/>
          </rPr>
          <t>dh00024:</t>
        </r>
        <r>
          <rPr>
            <sz val="8"/>
            <color indexed="81"/>
            <rFont val="Tahoma"/>
            <family val="2"/>
          </rPr>
          <t xml:space="preserve">
</t>
        </r>
      </text>
    </comment>
    <comment ref="E12" authorId="0" shapeId="0" xr:uid="{00000000-0006-0000-0000-000008000000}">
      <text>
        <r>
          <rPr>
            <b/>
            <sz val="8"/>
            <color indexed="81"/>
            <rFont val="Tahoma"/>
            <family val="2"/>
          </rPr>
          <t>dh00024:</t>
        </r>
        <r>
          <rPr>
            <sz val="8"/>
            <color indexed="81"/>
            <rFont val="Tahoma"/>
            <family val="2"/>
          </rPr>
          <t xml:space="preserve">
</t>
        </r>
      </text>
    </comment>
    <comment ref="F12" authorId="0" shapeId="0" xr:uid="{00000000-0006-0000-0000-000009000000}">
      <text>
        <r>
          <rPr>
            <b/>
            <sz val="8"/>
            <color indexed="81"/>
            <rFont val="Tahoma"/>
            <family val="2"/>
          </rPr>
          <t>dh00024:</t>
        </r>
        <r>
          <rPr>
            <sz val="8"/>
            <color indexed="81"/>
            <rFont val="Tahoma"/>
            <family val="2"/>
          </rPr>
          <t xml:space="preserve">
</t>
        </r>
      </text>
    </comment>
    <comment ref="E13" authorId="0" shapeId="0" xr:uid="{00000000-0006-0000-0000-00000A000000}">
      <text>
        <r>
          <rPr>
            <b/>
            <sz val="8"/>
            <color indexed="81"/>
            <rFont val="Tahoma"/>
            <family val="2"/>
          </rPr>
          <t>dh00024:</t>
        </r>
        <r>
          <rPr>
            <sz val="8"/>
            <color indexed="81"/>
            <rFont val="Tahoma"/>
            <family val="2"/>
          </rPr>
          <t xml:space="preserve">
</t>
        </r>
      </text>
    </comment>
    <comment ref="F13" authorId="0" shapeId="0" xr:uid="{00000000-0006-0000-0000-00000B000000}">
      <text>
        <r>
          <rPr>
            <b/>
            <sz val="8"/>
            <color indexed="81"/>
            <rFont val="Tahoma"/>
            <family val="2"/>
          </rPr>
          <t>dh00024:</t>
        </r>
        <r>
          <rPr>
            <sz val="8"/>
            <color indexed="81"/>
            <rFont val="Tahoma"/>
            <family val="2"/>
          </rPr>
          <t xml:space="preserve">
</t>
        </r>
      </text>
    </comment>
    <comment ref="E14" authorId="0" shapeId="0" xr:uid="{00000000-0006-0000-0000-00000C000000}">
      <text>
        <r>
          <rPr>
            <b/>
            <sz val="8"/>
            <color indexed="81"/>
            <rFont val="Tahoma"/>
            <family val="2"/>
          </rPr>
          <t>dh00024:</t>
        </r>
        <r>
          <rPr>
            <sz val="8"/>
            <color indexed="81"/>
            <rFont val="Tahoma"/>
            <family val="2"/>
          </rPr>
          <t xml:space="preserve">
</t>
        </r>
      </text>
    </comment>
    <comment ref="F14" authorId="0" shapeId="0" xr:uid="{00000000-0006-0000-0000-00000D000000}">
      <text>
        <r>
          <rPr>
            <b/>
            <sz val="8"/>
            <color indexed="81"/>
            <rFont val="Tahoma"/>
            <family val="2"/>
          </rPr>
          <t>dh00024:</t>
        </r>
        <r>
          <rPr>
            <sz val="8"/>
            <color indexed="81"/>
            <rFont val="Tahoma"/>
            <family val="2"/>
          </rPr>
          <t xml:space="preserve">
</t>
        </r>
      </text>
    </comment>
    <comment ref="E15" authorId="0" shapeId="0" xr:uid="{00000000-0006-0000-0000-00000E000000}">
      <text>
        <r>
          <rPr>
            <b/>
            <sz val="8"/>
            <color indexed="81"/>
            <rFont val="Tahoma"/>
            <family val="2"/>
          </rPr>
          <t>dh00024:</t>
        </r>
        <r>
          <rPr>
            <sz val="8"/>
            <color indexed="81"/>
            <rFont val="Tahoma"/>
            <family val="2"/>
          </rPr>
          <t xml:space="preserve">
</t>
        </r>
      </text>
    </comment>
    <comment ref="F15" authorId="0" shapeId="0" xr:uid="{00000000-0006-0000-0000-00000F000000}">
      <text>
        <r>
          <rPr>
            <b/>
            <sz val="8"/>
            <color indexed="81"/>
            <rFont val="Tahoma"/>
            <family val="2"/>
          </rPr>
          <t>dh00024:</t>
        </r>
        <r>
          <rPr>
            <sz val="8"/>
            <color indexed="81"/>
            <rFont val="Tahoma"/>
            <family val="2"/>
          </rPr>
          <t xml:space="preserve">
</t>
        </r>
      </text>
    </comment>
    <comment ref="E16" authorId="0" shapeId="0" xr:uid="{00000000-0006-0000-0000-000010000000}">
      <text>
        <r>
          <rPr>
            <b/>
            <sz val="8"/>
            <color indexed="81"/>
            <rFont val="Tahoma"/>
            <family val="2"/>
          </rPr>
          <t>dh00024:</t>
        </r>
        <r>
          <rPr>
            <sz val="8"/>
            <color indexed="81"/>
            <rFont val="Tahoma"/>
            <family val="2"/>
          </rPr>
          <t xml:space="preserve">
</t>
        </r>
      </text>
    </comment>
    <comment ref="F16" authorId="0" shapeId="0" xr:uid="{00000000-0006-0000-0000-000011000000}">
      <text>
        <r>
          <rPr>
            <b/>
            <sz val="8"/>
            <color indexed="81"/>
            <rFont val="Tahoma"/>
            <family val="2"/>
          </rPr>
          <t>dh00024:</t>
        </r>
        <r>
          <rPr>
            <sz val="8"/>
            <color indexed="81"/>
            <rFont val="Tahoma"/>
            <family val="2"/>
          </rPr>
          <t xml:space="preserve">
</t>
        </r>
      </text>
    </comment>
    <comment ref="E17" authorId="0" shapeId="0" xr:uid="{00000000-0006-0000-0000-000012000000}">
      <text>
        <r>
          <rPr>
            <b/>
            <sz val="8"/>
            <color indexed="81"/>
            <rFont val="Tahoma"/>
            <family val="2"/>
          </rPr>
          <t>dh00024:</t>
        </r>
        <r>
          <rPr>
            <sz val="8"/>
            <color indexed="81"/>
            <rFont val="Tahoma"/>
            <family val="2"/>
          </rPr>
          <t xml:space="preserve">
</t>
        </r>
      </text>
    </comment>
    <comment ref="F17" authorId="0" shapeId="0" xr:uid="{00000000-0006-0000-0000-000013000000}">
      <text>
        <r>
          <rPr>
            <b/>
            <sz val="8"/>
            <color indexed="81"/>
            <rFont val="Tahoma"/>
            <family val="2"/>
          </rPr>
          <t>dh00024:</t>
        </r>
        <r>
          <rPr>
            <sz val="8"/>
            <color indexed="81"/>
            <rFont val="Tahoma"/>
            <family val="2"/>
          </rPr>
          <t xml:space="preserve">
</t>
        </r>
      </text>
    </comment>
    <comment ref="E18" authorId="0" shapeId="0" xr:uid="{00000000-0006-0000-0000-000014000000}">
      <text>
        <r>
          <rPr>
            <b/>
            <sz val="8"/>
            <color indexed="81"/>
            <rFont val="Tahoma"/>
            <family val="2"/>
          </rPr>
          <t>dh00024:</t>
        </r>
        <r>
          <rPr>
            <sz val="8"/>
            <color indexed="81"/>
            <rFont val="Tahoma"/>
            <family val="2"/>
          </rPr>
          <t xml:space="preserve">
</t>
        </r>
      </text>
    </comment>
    <comment ref="F18" authorId="0" shapeId="0" xr:uid="{00000000-0006-0000-0000-000015000000}">
      <text>
        <r>
          <rPr>
            <b/>
            <sz val="8"/>
            <color indexed="81"/>
            <rFont val="Tahoma"/>
            <family val="2"/>
          </rPr>
          <t>dh00024:</t>
        </r>
        <r>
          <rPr>
            <sz val="8"/>
            <color indexed="81"/>
            <rFont val="Tahoma"/>
            <family val="2"/>
          </rPr>
          <t xml:space="preserve">
</t>
        </r>
      </text>
    </comment>
    <comment ref="E19" authorId="0" shapeId="0" xr:uid="{00000000-0006-0000-0000-000016000000}">
      <text>
        <r>
          <rPr>
            <b/>
            <sz val="8"/>
            <color indexed="81"/>
            <rFont val="Tahoma"/>
            <family val="2"/>
          </rPr>
          <t>dh00024:</t>
        </r>
        <r>
          <rPr>
            <sz val="8"/>
            <color indexed="81"/>
            <rFont val="Tahoma"/>
            <family val="2"/>
          </rPr>
          <t xml:space="preserve">
</t>
        </r>
      </text>
    </comment>
    <comment ref="F19" authorId="0" shapeId="0" xr:uid="{00000000-0006-0000-0000-000017000000}">
      <text>
        <r>
          <rPr>
            <b/>
            <sz val="8"/>
            <color indexed="81"/>
            <rFont val="Tahoma"/>
            <family val="2"/>
          </rPr>
          <t>dh00024:</t>
        </r>
        <r>
          <rPr>
            <sz val="8"/>
            <color indexed="81"/>
            <rFont val="Tahoma"/>
            <family val="2"/>
          </rPr>
          <t xml:space="preserve">
</t>
        </r>
      </text>
    </comment>
    <comment ref="E20" authorId="0" shapeId="0" xr:uid="{00000000-0006-0000-0000-000018000000}">
      <text>
        <r>
          <rPr>
            <b/>
            <sz val="8"/>
            <color indexed="81"/>
            <rFont val="Tahoma"/>
            <family val="2"/>
          </rPr>
          <t>dh00024:</t>
        </r>
        <r>
          <rPr>
            <sz val="8"/>
            <color indexed="81"/>
            <rFont val="Tahoma"/>
            <family val="2"/>
          </rPr>
          <t xml:space="preserve">
</t>
        </r>
      </text>
    </comment>
    <comment ref="F20" authorId="0" shapeId="0" xr:uid="{00000000-0006-0000-0000-000019000000}">
      <text>
        <r>
          <rPr>
            <b/>
            <sz val="8"/>
            <color indexed="81"/>
            <rFont val="Tahoma"/>
            <family val="2"/>
          </rPr>
          <t>dh00024:</t>
        </r>
        <r>
          <rPr>
            <sz val="8"/>
            <color indexed="81"/>
            <rFont val="Tahoma"/>
            <family val="2"/>
          </rPr>
          <t xml:space="preserve">
</t>
        </r>
      </text>
    </comment>
    <comment ref="E21" authorId="0" shapeId="0" xr:uid="{00000000-0006-0000-0000-00001A000000}">
      <text>
        <r>
          <rPr>
            <b/>
            <sz val="8"/>
            <color indexed="81"/>
            <rFont val="Tahoma"/>
            <family val="2"/>
          </rPr>
          <t>dh00024:</t>
        </r>
        <r>
          <rPr>
            <sz val="8"/>
            <color indexed="81"/>
            <rFont val="Tahoma"/>
            <family val="2"/>
          </rPr>
          <t xml:space="preserve">
</t>
        </r>
      </text>
    </comment>
    <comment ref="F21" authorId="0" shapeId="0" xr:uid="{00000000-0006-0000-0000-00001B000000}">
      <text>
        <r>
          <rPr>
            <b/>
            <sz val="8"/>
            <color indexed="81"/>
            <rFont val="Tahoma"/>
            <family val="2"/>
          </rPr>
          <t>dh00024:</t>
        </r>
        <r>
          <rPr>
            <sz val="8"/>
            <color indexed="81"/>
            <rFont val="Tahoma"/>
            <family val="2"/>
          </rPr>
          <t xml:space="preserve">
</t>
        </r>
      </text>
    </comment>
    <comment ref="E22" authorId="0" shapeId="0" xr:uid="{00000000-0006-0000-0000-00001C000000}">
      <text>
        <r>
          <rPr>
            <b/>
            <sz val="8"/>
            <color indexed="81"/>
            <rFont val="Tahoma"/>
            <family val="2"/>
          </rPr>
          <t>dh00024:</t>
        </r>
        <r>
          <rPr>
            <sz val="8"/>
            <color indexed="81"/>
            <rFont val="Tahoma"/>
            <family val="2"/>
          </rPr>
          <t xml:space="preserve">
</t>
        </r>
      </text>
    </comment>
    <comment ref="F22" authorId="0" shapeId="0" xr:uid="{00000000-0006-0000-0000-00001D000000}">
      <text>
        <r>
          <rPr>
            <b/>
            <sz val="8"/>
            <color indexed="81"/>
            <rFont val="Tahoma"/>
            <family val="2"/>
          </rPr>
          <t>dh00024:</t>
        </r>
        <r>
          <rPr>
            <sz val="8"/>
            <color indexed="81"/>
            <rFont val="Tahoma"/>
            <family val="2"/>
          </rPr>
          <t xml:space="preserve">
</t>
        </r>
      </text>
    </comment>
    <comment ref="E23" authorId="0" shapeId="0" xr:uid="{00000000-0006-0000-0000-00001E000000}">
      <text>
        <r>
          <rPr>
            <b/>
            <sz val="8"/>
            <color indexed="81"/>
            <rFont val="Tahoma"/>
            <family val="2"/>
          </rPr>
          <t>dh00024:</t>
        </r>
        <r>
          <rPr>
            <sz val="8"/>
            <color indexed="81"/>
            <rFont val="Tahoma"/>
            <family val="2"/>
          </rPr>
          <t xml:space="preserve">
</t>
        </r>
      </text>
    </comment>
    <comment ref="F23" authorId="0" shapeId="0" xr:uid="{00000000-0006-0000-0000-00001F000000}">
      <text>
        <r>
          <rPr>
            <b/>
            <sz val="8"/>
            <color indexed="81"/>
            <rFont val="Tahoma"/>
            <family val="2"/>
          </rPr>
          <t>dh00024:</t>
        </r>
        <r>
          <rPr>
            <sz val="8"/>
            <color indexed="81"/>
            <rFont val="Tahoma"/>
            <family val="2"/>
          </rPr>
          <t xml:space="preserve">
</t>
        </r>
      </text>
    </comment>
    <comment ref="E24" authorId="0" shapeId="0" xr:uid="{00000000-0006-0000-0000-000020000000}">
      <text>
        <r>
          <rPr>
            <b/>
            <sz val="8"/>
            <color indexed="81"/>
            <rFont val="Tahoma"/>
            <family val="2"/>
          </rPr>
          <t>dh00024:</t>
        </r>
        <r>
          <rPr>
            <sz val="8"/>
            <color indexed="81"/>
            <rFont val="Tahoma"/>
            <family val="2"/>
          </rPr>
          <t xml:space="preserve">
</t>
        </r>
      </text>
    </comment>
    <comment ref="F24" authorId="0" shapeId="0" xr:uid="{00000000-0006-0000-0000-000021000000}">
      <text>
        <r>
          <rPr>
            <b/>
            <sz val="8"/>
            <color indexed="81"/>
            <rFont val="Tahoma"/>
            <family val="2"/>
          </rPr>
          <t>dh00024:</t>
        </r>
        <r>
          <rPr>
            <sz val="8"/>
            <color indexed="81"/>
            <rFont val="Tahoma"/>
            <family val="2"/>
          </rPr>
          <t xml:space="preserve">
</t>
        </r>
      </text>
    </comment>
    <comment ref="E25" authorId="0" shapeId="0" xr:uid="{00000000-0006-0000-0000-000022000000}">
      <text>
        <r>
          <rPr>
            <b/>
            <sz val="8"/>
            <color indexed="81"/>
            <rFont val="Tahoma"/>
            <family val="2"/>
          </rPr>
          <t>dh00024:</t>
        </r>
        <r>
          <rPr>
            <sz val="8"/>
            <color indexed="81"/>
            <rFont val="Tahoma"/>
            <family val="2"/>
          </rPr>
          <t xml:space="preserve">
</t>
        </r>
      </text>
    </comment>
    <comment ref="F25" authorId="0" shapeId="0" xr:uid="{00000000-0006-0000-0000-000023000000}">
      <text>
        <r>
          <rPr>
            <b/>
            <sz val="8"/>
            <color indexed="81"/>
            <rFont val="Tahoma"/>
            <family val="2"/>
          </rPr>
          <t>dh00024:</t>
        </r>
        <r>
          <rPr>
            <sz val="8"/>
            <color indexed="81"/>
            <rFont val="Tahoma"/>
            <family val="2"/>
          </rPr>
          <t xml:space="preserve">
</t>
        </r>
      </text>
    </comment>
    <comment ref="E26" authorId="0" shapeId="0" xr:uid="{00000000-0006-0000-0000-000024000000}">
      <text>
        <r>
          <rPr>
            <b/>
            <sz val="8"/>
            <color indexed="81"/>
            <rFont val="Tahoma"/>
            <family val="2"/>
          </rPr>
          <t>dh00024:</t>
        </r>
        <r>
          <rPr>
            <sz val="8"/>
            <color indexed="81"/>
            <rFont val="Tahoma"/>
            <family val="2"/>
          </rPr>
          <t xml:space="preserve">
</t>
        </r>
      </text>
    </comment>
    <comment ref="F26" authorId="0" shapeId="0" xr:uid="{00000000-0006-0000-0000-000025000000}">
      <text>
        <r>
          <rPr>
            <b/>
            <sz val="8"/>
            <color indexed="81"/>
            <rFont val="Tahoma"/>
            <family val="2"/>
          </rPr>
          <t>dh00024:</t>
        </r>
        <r>
          <rPr>
            <sz val="8"/>
            <color indexed="81"/>
            <rFont val="Tahoma"/>
            <family val="2"/>
          </rPr>
          <t xml:space="preserve">
</t>
        </r>
      </text>
    </comment>
    <comment ref="E27" authorId="0" shapeId="0" xr:uid="{00000000-0006-0000-0000-000026000000}">
      <text>
        <r>
          <rPr>
            <b/>
            <sz val="8"/>
            <color indexed="81"/>
            <rFont val="Tahoma"/>
            <family val="2"/>
          </rPr>
          <t>dh00024:</t>
        </r>
        <r>
          <rPr>
            <sz val="8"/>
            <color indexed="81"/>
            <rFont val="Tahoma"/>
            <family val="2"/>
          </rPr>
          <t xml:space="preserve">
</t>
        </r>
      </text>
    </comment>
    <comment ref="F27" authorId="0" shapeId="0" xr:uid="{00000000-0006-0000-0000-000027000000}">
      <text>
        <r>
          <rPr>
            <b/>
            <sz val="8"/>
            <color indexed="81"/>
            <rFont val="Tahoma"/>
            <family val="2"/>
          </rPr>
          <t>dh00024:</t>
        </r>
        <r>
          <rPr>
            <sz val="8"/>
            <color indexed="81"/>
            <rFont val="Tahoma"/>
            <family val="2"/>
          </rPr>
          <t xml:space="preserve">
</t>
        </r>
      </text>
    </comment>
    <comment ref="E28" authorId="0" shapeId="0" xr:uid="{00000000-0006-0000-0000-000028000000}">
      <text>
        <r>
          <rPr>
            <b/>
            <sz val="8"/>
            <color indexed="81"/>
            <rFont val="Tahoma"/>
            <family val="2"/>
          </rPr>
          <t>dh00024:</t>
        </r>
        <r>
          <rPr>
            <sz val="8"/>
            <color indexed="81"/>
            <rFont val="Tahoma"/>
            <family val="2"/>
          </rPr>
          <t xml:space="preserve">
</t>
        </r>
      </text>
    </comment>
    <comment ref="F28" authorId="0" shapeId="0" xr:uid="{00000000-0006-0000-0000-000029000000}">
      <text>
        <r>
          <rPr>
            <b/>
            <sz val="8"/>
            <color indexed="81"/>
            <rFont val="Tahoma"/>
            <family val="2"/>
          </rPr>
          <t>dh00024:</t>
        </r>
        <r>
          <rPr>
            <sz val="8"/>
            <color indexed="81"/>
            <rFont val="Tahoma"/>
            <family val="2"/>
          </rPr>
          <t xml:space="preserve">
</t>
        </r>
      </text>
    </comment>
    <comment ref="E29" authorId="0" shapeId="0" xr:uid="{00000000-0006-0000-0000-00002A000000}">
      <text>
        <r>
          <rPr>
            <b/>
            <sz val="8"/>
            <color indexed="81"/>
            <rFont val="Tahoma"/>
            <family val="2"/>
          </rPr>
          <t>dh00024:</t>
        </r>
        <r>
          <rPr>
            <sz val="8"/>
            <color indexed="81"/>
            <rFont val="Tahoma"/>
            <family val="2"/>
          </rPr>
          <t xml:space="preserve">
</t>
        </r>
      </text>
    </comment>
    <comment ref="F29" authorId="0" shapeId="0" xr:uid="{00000000-0006-0000-0000-00002B000000}">
      <text>
        <r>
          <rPr>
            <b/>
            <sz val="8"/>
            <color indexed="81"/>
            <rFont val="Tahoma"/>
            <family val="2"/>
          </rPr>
          <t>dh00024:</t>
        </r>
        <r>
          <rPr>
            <sz val="8"/>
            <color indexed="81"/>
            <rFont val="Tahoma"/>
            <family val="2"/>
          </rPr>
          <t xml:space="preserve">
</t>
        </r>
      </text>
    </comment>
    <comment ref="E30" authorId="0" shapeId="0" xr:uid="{00000000-0006-0000-0000-00002C000000}">
      <text>
        <r>
          <rPr>
            <b/>
            <sz val="8"/>
            <color indexed="81"/>
            <rFont val="Tahoma"/>
            <family val="2"/>
          </rPr>
          <t>dh00024:</t>
        </r>
        <r>
          <rPr>
            <sz val="8"/>
            <color indexed="81"/>
            <rFont val="Tahoma"/>
            <family val="2"/>
          </rPr>
          <t xml:space="preserve">
</t>
        </r>
      </text>
    </comment>
    <comment ref="F30" authorId="0" shapeId="0" xr:uid="{00000000-0006-0000-0000-00002D000000}">
      <text>
        <r>
          <rPr>
            <b/>
            <sz val="8"/>
            <color indexed="81"/>
            <rFont val="Tahoma"/>
            <family val="2"/>
          </rPr>
          <t>dh00024:</t>
        </r>
        <r>
          <rPr>
            <sz val="8"/>
            <color indexed="81"/>
            <rFont val="Tahoma"/>
            <family val="2"/>
          </rPr>
          <t xml:space="preserve">
</t>
        </r>
      </text>
    </comment>
    <comment ref="C35" authorId="0" shapeId="0" xr:uid="{00000000-0006-0000-0000-00002E000000}">
      <text>
        <r>
          <rPr>
            <b/>
            <sz val="8"/>
            <color indexed="81"/>
            <rFont val="Tahoma"/>
            <family val="2"/>
          </rPr>
          <t>dh00024:</t>
        </r>
        <r>
          <rPr>
            <sz val="8"/>
            <color indexed="81"/>
            <rFont val="Tahoma"/>
            <family val="2"/>
          </rPr>
          <t xml:space="preserve">
</t>
        </r>
      </text>
    </comment>
    <comment ref="C36" authorId="0" shapeId="0" xr:uid="{00000000-0006-0000-0000-00002F000000}">
      <text>
        <r>
          <rPr>
            <b/>
            <sz val="8"/>
            <color indexed="81"/>
            <rFont val="Tahoma"/>
            <family val="2"/>
          </rPr>
          <t>dh00024:</t>
        </r>
        <r>
          <rPr>
            <sz val="8"/>
            <color indexed="81"/>
            <rFont val="Tahoma"/>
            <family val="2"/>
          </rPr>
          <t xml:space="preserve">
</t>
        </r>
      </text>
    </comment>
    <comment ref="E45" authorId="0" shapeId="0" xr:uid="{00000000-0006-0000-0000-000030000000}">
      <text>
        <r>
          <rPr>
            <b/>
            <sz val="8"/>
            <color indexed="81"/>
            <rFont val="Tahoma"/>
            <family val="2"/>
          </rPr>
          <t>dh00024:</t>
        </r>
        <r>
          <rPr>
            <sz val="8"/>
            <color indexed="81"/>
            <rFont val="Tahoma"/>
            <family val="2"/>
          </rPr>
          <t xml:space="preserve">
</t>
        </r>
      </text>
    </comment>
    <comment ref="E46" authorId="0" shapeId="0" xr:uid="{00000000-0006-0000-0000-000031000000}">
      <text>
        <r>
          <rPr>
            <b/>
            <sz val="8"/>
            <color indexed="81"/>
            <rFont val="Tahoma"/>
            <family val="2"/>
          </rPr>
          <t>dh00024:</t>
        </r>
        <r>
          <rPr>
            <sz val="8"/>
            <color indexed="81"/>
            <rFont val="Tahoma"/>
            <family val="2"/>
          </rPr>
          <t xml:space="preserve">
</t>
        </r>
      </text>
    </comment>
    <comment ref="E47" authorId="0" shapeId="0" xr:uid="{00000000-0006-0000-0000-000032000000}">
      <text>
        <r>
          <rPr>
            <b/>
            <sz val="8"/>
            <color indexed="81"/>
            <rFont val="Tahoma"/>
            <family val="2"/>
          </rPr>
          <t>dh00024:</t>
        </r>
        <r>
          <rPr>
            <sz val="8"/>
            <color indexed="81"/>
            <rFont val="Tahoma"/>
            <family val="2"/>
          </rPr>
          <t xml:space="preserve">
</t>
        </r>
      </text>
    </comment>
    <comment ref="E48" authorId="0" shapeId="0" xr:uid="{00000000-0006-0000-0000-000033000000}">
      <text>
        <r>
          <rPr>
            <b/>
            <sz val="8"/>
            <color indexed="81"/>
            <rFont val="Tahoma"/>
            <family val="2"/>
          </rPr>
          <t>dh00024:</t>
        </r>
        <r>
          <rPr>
            <sz val="8"/>
            <color indexed="81"/>
            <rFont val="Tahoma"/>
            <family val="2"/>
          </rPr>
          <t xml:space="preserve">
</t>
        </r>
      </text>
    </comment>
    <comment ref="E49" authorId="0" shapeId="0" xr:uid="{00000000-0006-0000-0000-000034000000}">
      <text>
        <r>
          <rPr>
            <b/>
            <sz val="8"/>
            <color indexed="81"/>
            <rFont val="Tahoma"/>
            <family val="2"/>
          </rPr>
          <t>dh00024:</t>
        </r>
        <r>
          <rPr>
            <sz val="8"/>
            <color indexed="81"/>
            <rFont val="Tahoma"/>
            <family val="2"/>
          </rPr>
          <t xml:space="preserve">
</t>
        </r>
      </text>
    </comment>
    <comment ref="E50" authorId="0" shapeId="0" xr:uid="{00000000-0006-0000-0000-000035000000}">
      <text>
        <r>
          <rPr>
            <b/>
            <sz val="8"/>
            <color indexed="81"/>
            <rFont val="Tahoma"/>
            <family val="2"/>
          </rPr>
          <t>dh00024:</t>
        </r>
        <r>
          <rPr>
            <sz val="8"/>
            <color indexed="81"/>
            <rFont val="Tahoma"/>
            <family val="2"/>
          </rPr>
          <t xml:space="preserve">
</t>
        </r>
      </text>
    </comment>
    <comment ref="E51" authorId="0" shapeId="0" xr:uid="{00000000-0006-0000-0000-000036000000}">
      <text>
        <r>
          <rPr>
            <b/>
            <sz val="8"/>
            <color indexed="81"/>
            <rFont val="Tahoma"/>
            <family val="2"/>
          </rPr>
          <t>dh00024:</t>
        </r>
        <r>
          <rPr>
            <sz val="8"/>
            <color indexed="81"/>
            <rFont val="Tahoma"/>
            <family val="2"/>
          </rPr>
          <t xml:space="preserve">
</t>
        </r>
      </text>
    </comment>
    <comment ref="E52" authorId="0" shapeId="0" xr:uid="{00000000-0006-0000-0000-000037000000}">
      <text>
        <r>
          <rPr>
            <b/>
            <sz val="8"/>
            <color indexed="81"/>
            <rFont val="Tahoma"/>
            <family val="2"/>
          </rPr>
          <t>dh00024:</t>
        </r>
        <r>
          <rPr>
            <sz val="8"/>
            <color indexed="81"/>
            <rFont val="Tahoma"/>
            <family val="2"/>
          </rPr>
          <t xml:space="preserve">
</t>
        </r>
      </text>
    </comment>
    <comment ref="E53" authorId="0" shapeId="0" xr:uid="{00000000-0006-0000-0000-000038000000}">
      <text>
        <r>
          <rPr>
            <b/>
            <sz val="8"/>
            <color indexed="81"/>
            <rFont val="Tahoma"/>
            <family val="2"/>
          </rPr>
          <t>dh00024:</t>
        </r>
        <r>
          <rPr>
            <sz val="8"/>
            <color indexed="81"/>
            <rFont val="Tahoma"/>
            <family val="2"/>
          </rPr>
          <t xml:space="preserve">
</t>
        </r>
      </text>
    </comment>
    <comment ref="E54" authorId="0" shapeId="0" xr:uid="{00000000-0006-0000-0000-000039000000}">
      <text>
        <r>
          <rPr>
            <b/>
            <sz val="8"/>
            <color indexed="81"/>
            <rFont val="Tahoma"/>
            <family val="2"/>
          </rPr>
          <t>dh00024:</t>
        </r>
        <r>
          <rPr>
            <sz val="8"/>
            <color indexed="81"/>
            <rFont val="Tahoma"/>
            <family val="2"/>
          </rPr>
          <t xml:space="preserve">
</t>
        </r>
      </text>
    </comment>
    <comment ref="E55" authorId="0" shapeId="0" xr:uid="{00000000-0006-0000-0000-00003A000000}">
      <text>
        <r>
          <rPr>
            <b/>
            <sz val="8"/>
            <color indexed="81"/>
            <rFont val="Tahoma"/>
            <family val="2"/>
          </rPr>
          <t>dh00024:</t>
        </r>
        <r>
          <rPr>
            <sz val="8"/>
            <color indexed="81"/>
            <rFont val="Tahoma"/>
            <family val="2"/>
          </rPr>
          <t xml:space="preserve">
</t>
        </r>
      </text>
    </comment>
    <comment ref="E56" authorId="0" shapeId="0" xr:uid="{00000000-0006-0000-0000-00003B000000}">
      <text>
        <r>
          <rPr>
            <b/>
            <sz val="8"/>
            <color indexed="81"/>
            <rFont val="Tahoma"/>
            <family val="2"/>
          </rPr>
          <t>dh00024:</t>
        </r>
        <r>
          <rPr>
            <sz val="8"/>
            <color indexed="81"/>
            <rFont val="Tahoma"/>
            <family val="2"/>
          </rPr>
          <t xml:space="preserve">
</t>
        </r>
      </text>
    </comment>
    <comment ref="E57" authorId="0" shapeId="0" xr:uid="{00000000-0006-0000-0000-00003C000000}">
      <text>
        <r>
          <rPr>
            <b/>
            <sz val="8"/>
            <color indexed="81"/>
            <rFont val="Tahoma"/>
            <family val="2"/>
          </rPr>
          <t>dh00024:</t>
        </r>
        <r>
          <rPr>
            <sz val="8"/>
            <color indexed="81"/>
            <rFont val="Tahoma"/>
            <family val="2"/>
          </rPr>
          <t xml:space="preserve">
</t>
        </r>
      </text>
    </comment>
    <comment ref="E58" authorId="0" shapeId="0" xr:uid="{00000000-0006-0000-0000-00003D000000}">
      <text>
        <r>
          <rPr>
            <b/>
            <sz val="8"/>
            <color indexed="81"/>
            <rFont val="Tahoma"/>
            <family val="2"/>
          </rPr>
          <t>dh00024:</t>
        </r>
        <r>
          <rPr>
            <sz val="8"/>
            <color indexed="81"/>
            <rFont val="Tahoma"/>
            <family val="2"/>
          </rPr>
          <t xml:space="preserve">
</t>
        </r>
      </text>
    </comment>
    <comment ref="E59" authorId="0" shapeId="0" xr:uid="{00000000-0006-0000-0000-00003E000000}">
      <text>
        <r>
          <rPr>
            <b/>
            <sz val="8"/>
            <color indexed="81"/>
            <rFont val="Tahoma"/>
            <family val="2"/>
          </rPr>
          <t>dh00024:</t>
        </r>
        <r>
          <rPr>
            <sz val="8"/>
            <color indexed="81"/>
            <rFont val="Tahoma"/>
            <family val="2"/>
          </rPr>
          <t xml:space="preserve">
</t>
        </r>
      </text>
    </comment>
    <comment ref="E66" authorId="0" shapeId="0" xr:uid="{00000000-0006-0000-0000-00003F000000}">
      <text>
        <r>
          <rPr>
            <b/>
            <sz val="8"/>
            <color indexed="81"/>
            <rFont val="Tahoma"/>
            <family val="2"/>
          </rPr>
          <t>dh00024:</t>
        </r>
        <r>
          <rPr>
            <sz val="8"/>
            <color indexed="81"/>
            <rFont val="Tahoma"/>
            <family val="2"/>
          </rPr>
          <t xml:space="preserve">
</t>
        </r>
      </text>
    </comment>
    <comment ref="E67" authorId="0" shapeId="0" xr:uid="{00000000-0006-0000-0000-000040000000}">
      <text>
        <r>
          <rPr>
            <b/>
            <sz val="8"/>
            <color indexed="81"/>
            <rFont val="Tahoma"/>
            <family val="2"/>
          </rPr>
          <t>dh00024:</t>
        </r>
        <r>
          <rPr>
            <sz val="8"/>
            <color indexed="81"/>
            <rFont val="Tahoma"/>
            <family val="2"/>
          </rPr>
          <t xml:space="preserve">
</t>
        </r>
      </text>
    </comment>
    <comment ref="E68" authorId="0" shapeId="0" xr:uid="{00000000-0006-0000-0000-000041000000}">
      <text>
        <r>
          <rPr>
            <b/>
            <sz val="8"/>
            <color indexed="81"/>
            <rFont val="Tahoma"/>
            <family val="2"/>
          </rPr>
          <t>dh00024:</t>
        </r>
        <r>
          <rPr>
            <sz val="8"/>
            <color indexed="81"/>
            <rFont val="Tahoma"/>
            <family val="2"/>
          </rPr>
          <t xml:space="preserve">
</t>
        </r>
      </text>
    </comment>
    <comment ref="E69" authorId="0" shapeId="0" xr:uid="{00000000-0006-0000-0000-000042000000}">
      <text>
        <r>
          <rPr>
            <b/>
            <sz val="8"/>
            <color indexed="81"/>
            <rFont val="Tahoma"/>
            <family val="2"/>
          </rPr>
          <t>dh00024:</t>
        </r>
        <r>
          <rPr>
            <sz val="8"/>
            <color indexed="81"/>
            <rFont val="Tahoma"/>
            <family val="2"/>
          </rPr>
          <t xml:space="preserve">
</t>
        </r>
      </text>
    </comment>
    <comment ref="E70" authorId="0" shapeId="0" xr:uid="{00000000-0006-0000-0000-000043000000}">
      <text>
        <r>
          <rPr>
            <b/>
            <sz val="8"/>
            <color indexed="81"/>
            <rFont val="Tahoma"/>
            <family val="2"/>
          </rPr>
          <t>dh00024:</t>
        </r>
        <r>
          <rPr>
            <sz val="8"/>
            <color indexed="81"/>
            <rFont val="Tahoma"/>
            <family val="2"/>
          </rPr>
          <t xml:space="preserve">
</t>
        </r>
      </text>
    </comment>
    <comment ref="E71" authorId="0" shapeId="0" xr:uid="{00000000-0006-0000-0000-000044000000}">
      <text>
        <r>
          <rPr>
            <b/>
            <sz val="8"/>
            <color indexed="81"/>
            <rFont val="Tahoma"/>
            <family val="2"/>
          </rPr>
          <t>dh00024:</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Virginia Pace</author>
  </authors>
  <commentList>
    <comment ref="F9" authorId="0" shapeId="0" xr:uid="{00000000-0006-0000-0400-000001000000}">
      <text>
        <r>
          <rPr>
            <sz val="8"/>
            <color indexed="81"/>
            <rFont val="Tahoma"/>
            <family val="2"/>
          </rPr>
          <t>Do NOT include these units as restricted. RM Units are in addition to all other units listed.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Virginia Pace</author>
  </authors>
  <commentList>
    <comment ref="B49" authorId="0" shapeId="0" xr:uid="{00000000-0006-0000-0C00-000001000000}">
      <text>
        <r>
          <rPr>
            <b/>
            <sz val="8"/>
            <color indexed="81"/>
            <rFont val="Tahoma"/>
            <family val="2"/>
          </rPr>
          <t>Reductions are entered in the Development Costs tab, Column L.</t>
        </r>
      </text>
    </comment>
  </commentList>
</comments>
</file>

<file path=xl/sharedStrings.xml><?xml version="1.0" encoding="utf-8"?>
<sst xmlns="http://schemas.openxmlformats.org/spreadsheetml/2006/main" count="2287" uniqueCount="1629">
  <si>
    <t>SYNDICATION PROCEEDS</t>
  </si>
  <si>
    <t>Section C: EQUITY PRESENT VALUE AS OF THE PLACED-IN-SERVICE DATE</t>
  </si>
  <si>
    <t>Development:</t>
  </si>
  <si>
    <t>of Early and Late Installments of Gross Syndication Proceeds</t>
  </si>
  <si>
    <t>LIH Tax Credits:</t>
  </si>
  <si>
    <t xml:space="preserve">Annual Amount </t>
  </si>
  <si>
    <t>Placed-in-Service Date:</t>
  </si>
  <si>
    <t>LP ownership %</t>
  </si>
  <si>
    <t>Based on Limited Partner Equity Commitment Letter</t>
  </si>
  <si>
    <t>Equity Installment Number</t>
  </si>
  <si>
    <t>Equity Installment Amount</t>
  </si>
  <si>
    <t>Expected Date of Installment</t>
  </si>
  <si>
    <t>FV/PV at Placed in Service of Capital Contribution</t>
  </si>
  <si>
    <t>PV Increase (Decrease)</t>
  </si>
  <si>
    <t>Number of Months</t>
  </si>
  <si>
    <t>Total of All Equity Payments</t>
  </si>
  <si>
    <t>Total</t>
  </si>
  <si>
    <t>Discount rate used for this analysis: **</t>
  </si>
  <si>
    <t>** Prime Rate as of</t>
  </si>
  <si>
    <t>Month</t>
  </si>
  <si>
    <t>NET EQUITY CALCULATION</t>
  </si>
  <si>
    <t>1.  Source of Funds</t>
  </si>
  <si>
    <t>Gross Syndication Proceeds</t>
  </si>
  <si>
    <t xml:space="preserve">HOME </t>
  </si>
  <si>
    <t>TIF - City of Chicago</t>
  </si>
  <si>
    <t>Tax Exempt Bonds</t>
  </si>
  <si>
    <t>Private Loan</t>
  </si>
  <si>
    <t>IHDA Soft Funds</t>
  </si>
  <si>
    <t>CHA Hope Loan</t>
  </si>
  <si>
    <t xml:space="preserve">Sponsor Grant </t>
  </si>
  <si>
    <t xml:space="preserve">Deferred Developer Fee </t>
  </si>
  <si>
    <t xml:space="preserve">GP Equity </t>
  </si>
  <si>
    <t xml:space="preserve">Illinois Donations </t>
  </si>
  <si>
    <t xml:space="preserve">Other </t>
  </si>
  <si>
    <t>Accrued Soft Interest</t>
  </si>
  <si>
    <t>Bank Donation</t>
  </si>
  <si>
    <t>2. Uses of Funds</t>
  </si>
  <si>
    <t>3.  Deductions from Equity Proceeds</t>
  </si>
  <si>
    <t>Syndication Fees and Expenses</t>
  </si>
  <si>
    <t>Organizational Fees</t>
  </si>
  <si>
    <t>Working Capital Reserve</t>
  </si>
  <si>
    <t>Tax Credit Fees</t>
  </si>
  <si>
    <t>Bridge Loan Interest</t>
  </si>
  <si>
    <t>Other</t>
  </si>
  <si>
    <t>4.  Adjustments for Early/Late Equity Installments (see Section C)</t>
  </si>
  <si>
    <t>LIHTC Gross Equity Proceeds of:</t>
  </si>
  <si>
    <t>Adjusting for Early and Late Installments at a Discount Rate of:</t>
  </si>
  <si>
    <t>Results in a Net Positive (Negative) Adjustment of:</t>
  </si>
  <si>
    <t>5.  Net Equity Syndication Proceeds</t>
  </si>
  <si>
    <t>Estimated Gross Proceeds</t>
  </si>
  <si>
    <t>Less Deductions from Equity Proceeds (see 3 above)</t>
  </si>
  <si>
    <t>Plus (Minus) Adjustments for Early (Late) Installments</t>
  </si>
  <si>
    <t>Net Equity Proceeds at Placed-in-Service Date</t>
  </si>
  <si>
    <t>6.  Amount of Equity Per Tax Credit Dollar</t>
  </si>
  <si>
    <t>Net Equity Proceeds</t>
  </si>
  <si>
    <t>Tax Credit Allocation over 10 years:</t>
  </si>
  <si>
    <t>Multiplied by Limited Partnership Ownership Percentage</t>
  </si>
  <si>
    <t>Equals LIHTC Allocation to Limited Partner</t>
  </si>
  <si>
    <t>Net Equity Proceeds per Dollar of LIHTC Allocation to Limited Partner</t>
  </si>
  <si>
    <t>Subsidy Layering Analysis Form</t>
  </si>
  <si>
    <t xml:space="preserve">Date: </t>
  </si>
  <si>
    <t>SUBSIDY LAYERING ANALYSIS SUMMARY</t>
  </si>
  <si>
    <t>Project Name:</t>
  </si>
  <si>
    <t xml:space="preserve">Project Sponsor: </t>
  </si>
  <si>
    <t>Number of units and Phase Information:</t>
  </si>
  <si>
    <t>This
 Project</t>
  </si>
  <si>
    <t>*Safe Harbor* Standard</t>
  </si>
  <si>
    <r>
      <t>*</t>
    </r>
    <r>
      <rPr>
        <sz val="8"/>
        <rFont val="Arial"/>
        <family val="2"/>
      </rPr>
      <t>Ceiling* Standard</t>
    </r>
  </si>
  <si>
    <t>SUMMARY:  Subsidy Layering Guideling Standards (Note A)</t>
  </si>
  <si>
    <t>1.  Builder: General Conditions / Overhead /  Profit</t>
  </si>
  <si>
    <t>6%, 2%, 6%</t>
  </si>
  <si>
    <t>14% Gen Cond + OH + P</t>
  </si>
  <si>
    <t>2.  Developer Fee</t>
  </si>
  <si>
    <t>15.0%</t>
  </si>
  <si>
    <t>3.  Net Equity Proceeds</t>
  </si>
  <si>
    <t>Market rate</t>
  </si>
  <si>
    <t>4.  Debt Coverage Ratio</t>
  </si>
  <si>
    <t>1.10</t>
  </si>
  <si>
    <t>1.45</t>
  </si>
  <si>
    <t>3.</t>
  </si>
  <si>
    <r>
      <t xml:space="preserve">Calucation of Net Equity Proceeds from Syndication </t>
    </r>
    <r>
      <rPr>
        <b/>
        <i/>
        <sz val="8"/>
        <rFont val="Arial"/>
        <family val="2"/>
      </rPr>
      <t>(guideline Standard 3)</t>
    </r>
  </si>
  <si>
    <t xml:space="preserve">  (a) Gross LIHTC Equity Syndication Proceeds from investor</t>
  </si>
  <si>
    <t xml:space="preserve">  (b)  Equity Proceeds Not Available for Project Uses</t>
  </si>
  <si>
    <r>
      <t xml:space="preserve">        (i) Bridge Financing Costs (on loans to be repaid by equity) </t>
    </r>
    <r>
      <rPr>
        <b/>
        <sz val="8"/>
        <rFont val="Arial"/>
        <family val="2"/>
      </rPr>
      <t>(Note A)</t>
    </r>
  </si>
  <si>
    <t xml:space="preserve">             (A)  Bridge loan interest</t>
  </si>
  <si>
    <t xml:space="preserve">             (B)  Bridge loan costs other than interest (lender legal, bank fees, etc.)</t>
  </si>
  <si>
    <r>
      <t xml:space="preserve">       (ii) Other Syndication Fees and Expenses </t>
    </r>
    <r>
      <rPr>
        <b/>
        <sz val="8"/>
        <rFont val="Arial"/>
        <family val="2"/>
      </rPr>
      <t xml:space="preserve"> (Note B)</t>
    </r>
  </si>
  <si>
    <t xml:space="preserve">            (A)  Ownership entity organization and legal cost</t>
  </si>
  <si>
    <t xml:space="preserve">            (B)  Syndication fees paid from gross syndication proceeds</t>
  </si>
  <si>
    <t xml:space="preserve">            (C)  Tax Credit fees (to LIHTC-awarding agency, etc.)</t>
  </si>
  <si>
    <t xml:space="preserve">            (D)  Other syndication fees and costs (accounting, cost certification, etc)</t>
  </si>
  <si>
    <t xml:space="preserve">            (E)  Total deductions from equity syndication proceeds</t>
  </si>
  <si>
    <t xml:space="preserve"> (c)  Amount of Equity Contributions Per Dollar of Tax Credit to the Project</t>
  </si>
  <si>
    <t xml:space="preserve">       (i)  Net Equity Proceeds as of the Placed-in-Service Date (3.a minus 3.b.ii.E)</t>
  </si>
  <si>
    <t xml:space="preserve">      (ii)  Enter amount of annual tax credit allocation (from tax credit award letter):</t>
  </si>
  <si>
    <t xml:space="preserve">     (iii)  Multiply by 10 (LIHTC award amount is annual allocation per year for 10 years)</t>
  </si>
  <si>
    <t>x</t>
  </si>
  <si>
    <t xml:space="preserve">     (iv)  Equals total LIHTC allocation to project over 10 years:</t>
  </si>
  <si>
    <t xml:space="preserve">      (v)  Multiplied by investor's ownership percentage:</t>
  </si>
  <si>
    <t xml:space="preserve">     (vi)  Equals LIHTC allocation to the investor.</t>
  </si>
  <si>
    <t xml:space="preserve">    (vii)  Net proceeds (3.c.i), divided by LIHTC allocation to investor (3.c.iv), yields net equity per dollar of =</t>
  </si>
  <si>
    <t>4.</t>
  </si>
  <si>
    <r>
      <t xml:space="preserve">Calculation of Debt Coverage Ratio </t>
    </r>
    <r>
      <rPr>
        <b/>
        <i/>
        <sz val="8"/>
        <rFont val="Arial"/>
        <family val="2"/>
      </rPr>
      <t>(guideline standard 4)</t>
    </r>
  </si>
  <si>
    <t>(a)  Net Operating Income</t>
  </si>
  <si>
    <t xml:space="preserve">       (i)  Total Operating Income</t>
  </si>
  <si>
    <t xml:space="preserve">      (ii)   Minus Total Operating Expenses</t>
  </si>
  <si>
    <t xml:space="preserve">     (iii)   Equals NOI</t>
  </si>
  <si>
    <t>(b) Debt Coverage Ratio</t>
  </si>
  <si>
    <t xml:space="preserve">      (i)   Debt Service</t>
  </si>
  <si>
    <t xml:space="preserve">     (ii)   Net Operating Income (4.a.iii) above divided by Debt Service (4.b.i) equals DCR:</t>
  </si>
  <si>
    <t>(c) Cash Flow</t>
  </si>
  <si>
    <t xml:space="preserve">     (i)   Annual Reserve contributions - INCLUDED IN 4.a.ii ABOVE - TOTAL OPERATING EXPENSES</t>
  </si>
  <si>
    <t xml:space="preserve">    (ii)   Cash Flow (4.a.iii minus 4.b.i minus 4.c.i)</t>
  </si>
  <si>
    <t xml:space="preserve">   (iii)   Cash Flow as a percentage of Expenses (4.c.ii divided by 4.a.ii)</t>
  </si>
  <si>
    <t>Notes:</t>
  </si>
  <si>
    <t>A.</t>
  </si>
  <si>
    <t>Analysis must confirm that only reasonable, market-rate bridge loan interest and costs recognized (to avoid excess profits that may result when</t>
  </si>
  <si>
    <t>loans are not negotiated through arm's-length transactions).</t>
  </si>
  <si>
    <t>B.</t>
  </si>
  <si>
    <t xml:space="preserve">Syndication expenses are total costs (other than bridge loan interest and costs) incurred by the owner in obtaining cash for the sale of tax credits </t>
  </si>
  <si>
    <t>to investors.  Include only those expenses incurred because of the extraordinary legal, organizational and accounting services and activities associated</t>
  </si>
  <si>
    <t>with utilizing tax credits.</t>
  </si>
  <si>
    <t>Tax Credit Assumptions</t>
  </si>
  <si>
    <t>Units &amp; Income Assumptions</t>
  </si>
  <si>
    <t>LIHTC Credits</t>
  </si>
  <si>
    <t># of Unit Types Per BR Size:</t>
  </si>
  <si>
    <t>% of Costs Ineligible:</t>
  </si>
  <si>
    <t>Studios</t>
  </si>
  <si>
    <t>Basic Project Information</t>
  </si>
  <si>
    <t>Acquisition LIHTC Credits?</t>
  </si>
  <si>
    <t>No</t>
  </si>
  <si>
    <t>1 Bedroom Units</t>
  </si>
  <si>
    <t>Version #</t>
  </si>
  <si>
    <t>How Qualified?</t>
  </si>
  <si>
    <t>Building was placed in service by its current owner more than 10 years ago.</t>
  </si>
  <si>
    <t>2 Bedroom Units</t>
  </si>
  <si>
    <t>Type of Project</t>
  </si>
  <si>
    <t>New City Deal</t>
  </si>
  <si>
    <t>3 Bedroom Units</t>
  </si>
  <si>
    <t>Project Name</t>
  </si>
  <si>
    <t>Enter Project Name Here</t>
  </si>
  <si>
    <t>Tax Credit Rate</t>
  </si>
  <si>
    <t>4 Bedroom Units</t>
  </si>
  <si>
    <t>Street Address</t>
  </si>
  <si>
    <t>Rehab/ New Construction LIHTC Credits?</t>
  </si>
  <si>
    <t>Yes</t>
  </si>
  <si>
    <t>5 Bedroom Units</t>
  </si>
  <si>
    <t>City</t>
  </si>
  <si>
    <t>Chicago</t>
  </si>
  <si>
    <t>Type of Credit</t>
  </si>
  <si>
    <t>9% Competitive Credits</t>
  </si>
  <si>
    <t>Commercial</t>
  </si>
  <si>
    <t>State</t>
  </si>
  <si>
    <t>IL</t>
  </si>
  <si>
    <t>130% Boost?</t>
  </si>
  <si>
    <t>Other Income</t>
  </si>
  <si>
    <t>Zip Code</t>
  </si>
  <si>
    <t>Credit Rate</t>
  </si>
  <si>
    <t>Residential Vacancy</t>
  </si>
  <si>
    <t>Ward #</t>
  </si>
  <si>
    <t>1st</t>
  </si>
  <si>
    <t>When will rate be locked</t>
  </si>
  <si>
    <t>Placement in Service of Building</t>
  </si>
  <si>
    <t>Res. Esc. Rate</t>
  </si>
  <si>
    <t>Alderman</t>
  </si>
  <si>
    <t>Reservation Date</t>
  </si>
  <si>
    <t>Feb</t>
  </si>
  <si>
    <t>Comm. Esc. Rate</t>
  </si>
  <si>
    <t>Community Area</t>
  </si>
  <si>
    <t>Committed?</t>
  </si>
  <si>
    <t>Other Inc. Esc. Rate</t>
  </si>
  <si>
    <t>TIF District</t>
  </si>
  <si>
    <t>Rate Locked?</t>
  </si>
  <si>
    <t>What AMI Levels Do You Need?</t>
  </si>
  <si>
    <t xml:space="preserve">DOH Contact </t>
  </si>
  <si>
    <t>Price Per Credit</t>
  </si>
  <si>
    <t>30% AMI</t>
  </si>
  <si>
    <t>Developer Name</t>
  </si>
  <si>
    <t>LIHTC Credit Raise</t>
  </si>
  <si>
    <t>50% AMI</t>
  </si>
  <si>
    <t xml:space="preserve"> </t>
  </si>
  <si>
    <t>Historic Tax Credits?</t>
  </si>
  <si>
    <t>60% AMI</t>
  </si>
  <si>
    <t>Suite #</t>
  </si>
  <si>
    <t>80% AMI</t>
  </si>
  <si>
    <t>Contributing Structure in National Historic District</t>
  </si>
  <si>
    <t>Unrestricted</t>
  </si>
  <si>
    <t>Income Averaging</t>
  </si>
  <si>
    <t>Zip</t>
  </si>
  <si>
    <t>Average Income</t>
  </si>
  <si>
    <t>Phone</t>
  </si>
  <si>
    <t>Fax #</t>
  </si>
  <si>
    <t>Historic Credit Raise</t>
  </si>
  <si>
    <t>Contact Person</t>
  </si>
  <si>
    <t>Enter Your Main Contact</t>
  </si>
  <si>
    <t>Total Tax Credit Equity</t>
  </si>
  <si>
    <t>Schedules</t>
  </si>
  <si>
    <t>Title</t>
  </si>
  <si>
    <t>Construction Period (mos)</t>
  </si>
  <si>
    <t>Architect Name</t>
  </si>
  <si>
    <t>Sources of Funds</t>
  </si>
  <si>
    <t>Const. Completion</t>
  </si>
  <si>
    <t>Gen. Contractor Name</t>
  </si>
  <si>
    <t>ARC Funds?</t>
  </si>
  <si>
    <t>Allocating Agency</t>
  </si>
  <si>
    <t>Lease-Up Begins</t>
  </si>
  <si>
    <t>Tax Attorney</t>
  </si>
  <si>
    <t>IAHTC Allocation</t>
  </si>
  <si>
    <t>Chicago DOH</t>
  </si>
  <si>
    <t># Units Leased Per Month</t>
  </si>
  <si>
    <t>Tax Accountant</t>
  </si>
  <si>
    <t>LIHTC Allocation</t>
  </si>
  <si>
    <t>Lease-Up Reserve Calculated</t>
  </si>
  <si>
    <t>FHLB AHP Grant</t>
  </si>
  <si>
    <t>100% Occupancy Year</t>
  </si>
  <si>
    <t>Basic Site Information</t>
  </si>
  <si>
    <t>Max HOME Loan</t>
  </si>
  <si>
    <t>Year:</t>
  </si>
  <si>
    <t>Year 1 of Operations</t>
  </si>
  <si>
    <t>Number of Buildings</t>
  </si>
  <si>
    <t>Applicable Federal Rate (AFR) &amp; Date</t>
  </si>
  <si>
    <t>Oper. Cost Esc. Rate</t>
  </si>
  <si>
    <t>Number of BINs</t>
  </si>
  <si>
    <t>Appraisal Information</t>
  </si>
  <si>
    <t>Census Tracts</t>
  </si>
  <si>
    <t>As-Is Value</t>
  </si>
  <si>
    <t>Site Area St. Ft.</t>
  </si>
  <si>
    <t>Date</t>
  </si>
  <si>
    <t>Gross Building Sq. Ft.</t>
  </si>
  <si>
    <t>As-Completed Value</t>
  </si>
  <si>
    <t>Net Building St. Ft.</t>
  </si>
  <si>
    <t>Non-Residential Sq. Ft.</t>
  </si>
  <si>
    <t>Tenant Paid Utilities</t>
  </si>
  <si>
    <t>Building Type(s)</t>
  </si>
  <si>
    <t>Walk-Ups</t>
  </si>
  <si>
    <t>Utility Types</t>
  </si>
  <si>
    <t>0 BR</t>
  </si>
  <si>
    <t>1 BR</t>
  </si>
  <si>
    <t>2 BR</t>
  </si>
  <si>
    <t>3 BR</t>
  </si>
  <si>
    <t>4 BR</t>
  </si>
  <si>
    <t>5 BR</t>
  </si>
  <si>
    <t>Rehab or New Const.?</t>
  </si>
  <si>
    <t>New Construction</t>
  </si>
  <si>
    <t>Electricity</t>
  </si>
  <si>
    <t>Natural Gas</t>
  </si>
  <si>
    <t>Construction Information</t>
  </si>
  <si>
    <t>Range Gas</t>
  </si>
  <si>
    <t>TOTAL General Conditions %</t>
  </si>
  <si>
    <t>Water/ Sewer</t>
  </si>
  <si>
    <t>TOTAL Overhead %</t>
  </si>
  <si>
    <t>Other:</t>
  </si>
  <si>
    <t>TOTAL Profit %</t>
  </si>
  <si>
    <t>RES. GC, OH, &amp; Profit %</t>
  </si>
  <si>
    <t xml:space="preserve">Other: </t>
  </si>
  <si>
    <t>COM. GC, OH, &amp; Profit %</t>
  </si>
  <si>
    <t>Total Utilities</t>
  </si>
  <si>
    <t>Const. Contingency %</t>
  </si>
  <si>
    <t>Per Unit Construction</t>
  </si>
  <si>
    <t>Operations &amp; Developer Fee Information</t>
  </si>
  <si>
    <t>GSF Construction Cost</t>
  </si>
  <si>
    <t>Developer Fee %</t>
  </si>
  <si>
    <t>Per Unit Total Dev. Cost</t>
  </si>
  <si>
    <t>Tax Exempt (TE) Bonds Test</t>
  </si>
  <si>
    <t>Year 1 Operating Cost Per Unit</t>
  </si>
  <si>
    <t>TE Bonds % of Basis</t>
  </si>
  <si>
    <t>Year 1 Debt Service Coverage Ratio</t>
  </si>
  <si>
    <t>Bonds + Equity Bridge %</t>
  </si>
  <si>
    <t>1st Negative Year #</t>
  </si>
  <si>
    <t>Tax Classifications for Purposes of Determining Low Income and Historic Credits</t>
  </si>
  <si>
    <t>Eligible Basis</t>
  </si>
  <si>
    <t>#</t>
  </si>
  <si>
    <t>Line Item</t>
  </si>
  <si>
    <t>Amount</t>
  </si>
  <si>
    <t>Enter Amount Here</t>
  </si>
  <si>
    <t>Calculation Method</t>
  </si>
  <si>
    <t>Per Unit</t>
  </si>
  <si>
    <t>Comments</t>
  </si>
  <si>
    <t>Depr. Building Basis</t>
  </si>
  <si>
    <t>Depr. Personal Property</t>
  </si>
  <si>
    <t>Depr. Site Work</t>
  </si>
  <si>
    <t>Depreciable but Ineligible for LIHTCs</t>
  </si>
  <si>
    <t>Depreciable BB Ineligible for HTCs</t>
  </si>
  <si>
    <t>Amortized / Other Non-Depreciable</t>
  </si>
  <si>
    <t xml:space="preserve">LIHTC Acquisition Eligible </t>
  </si>
  <si>
    <t>Rehab LIHTC Eligible</t>
  </si>
  <si>
    <t>Historic Tax Credit Eligible</t>
  </si>
  <si>
    <t>Ineligible Addback Rehab Subtotal</t>
  </si>
  <si>
    <t>Building Cost</t>
  </si>
  <si>
    <t>Land Cost</t>
  </si>
  <si>
    <t>Refinance/ Loan Pay-Off</t>
  </si>
  <si>
    <t>Carrying Costs</t>
  </si>
  <si>
    <t>Transfer Stamps</t>
  </si>
  <si>
    <t xml:space="preserve">Insurance  </t>
  </si>
  <si>
    <t>Security</t>
  </si>
  <si>
    <t>Legal</t>
  </si>
  <si>
    <t>Other Acquisition</t>
  </si>
  <si>
    <t>Acquisition Costs Subtotal</t>
  </si>
  <si>
    <t>Net Construction Costs</t>
  </si>
  <si>
    <t>Surface Parking</t>
  </si>
  <si>
    <t>Other Hard Costs</t>
  </si>
  <si>
    <t>General Conditions</t>
  </si>
  <si>
    <t>% of Net CC</t>
  </si>
  <si>
    <t>Overhead</t>
  </si>
  <si>
    <t>Profit</t>
  </si>
  <si>
    <t>Construction Costs Subtotal</t>
  </si>
  <si>
    <t>Furniture, Fixtures, &amp; Equip't</t>
  </si>
  <si>
    <t>Building Permits</t>
  </si>
  <si>
    <t>GC Insurance</t>
  </si>
  <si>
    <t>Open Space Fees</t>
  </si>
  <si>
    <t>Fencing</t>
  </si>
  <si>
    <t>Landscaping</t>
  </si>
  <si>
    <t>Parkways</t>
  </si>
  <si>
    <t>Parking Pads</t>
  </si>
  <si>
    <t>Site Preparation</t>
  </si>
  <si>
    <t xml:space="preserve">Other Construction  </t>
  </si>
  <si>
    <t>Contingency</t>
  </si>
  <si>
    <t>Other Construction Subtotal</t>
  </si>
  <si>
    <t>Streets</t>
  </si>
  <si>
    <t>Electrical &amp; Gas</t>
  </si>
  <si>
    <t>Sidewalk</t>
  </si>
  <si>
    <t>Public Parks &amp; Landscaping</t>
  </si>
  <si>
    <t>Sewer &amp; Water</t>
  </si>
  <si>
    <t>Other Infrastructure</t>
  </si>
  <si>
    <t>Infrastructure Subtotal</t>
  </si>
  <si>
    <t>Underground Storage Tanks</t>
  </si>
  <si>
    <t>Soil Testing</t>
  </si>
  <si>
    <t>Land Remediation</t>
  </si>
  <si>
    <t>Lead Based Paint Removal</t>
  </si>
  <si>
    <t>Asbestos Removal</t>
  </si>
  <si>
    <t>Other Environmental</t>
  </si>
  <si>
    <t>Environmental Subtotal</t>
  </si>
  <si>
    <t>Construction</t>
  </si>
  <si>
    <t>Accounting</t>
  </si>
  <si>
    <t>Reserves</t>
  </si>
  <si>
    <t>Consultants</t>
  </si>
  <si>
    <t>Other Commercial</t>
  </si>
  <si>
    <t>Commercial Subtotal</t>
  </si>
  <si>
    <t>Architect - Design</t>
  </si>
  <si>
    <t>Architect - Supervision</t>
  </si>
  <si>
    <t>Engineering Fees</t>
  </si>
  <si>
    <t>Blueprints &amp; Reproductions</t>
  </si>
  <si>
    <t>PNA Report</t>
  </si>
  <si>
    <t>Permit Expediter</t>
  </si>
  <si>
    <t>As-Is Plats &amp; Surveys</t>
  </si>
  <si>
    <t>Accountant - Tax Preparation</t>
  </si>
  <si>
    <t>Accountant -- 8609s</t>
  </si>
  <si>
    <t>Accountant -- General</t>
  </si>
  <si>
    <t>Legal - Organizational</t>
  </si>
  <si>
    <t>Legal - Syndication</t>
  </si>
  <si>
    <t>Consultant - Historic</t>
  </si>
  <si>
    <t>Consultant - Financial</t>
  </si>
  <si>
    <t>Consultant - TIF</t>
  </si>
  <si>
    <t>Appraisal</t>
  </si>
  <si>
    <t>Market Study</t>
  </si>
  <si>
    <t>Phase I Environ. Report</t>
  </si>
  <si>
    <t>Phase II Environ. Report</t>
  </si>
  <si>
    <t>Title &amp; Recording Fees</t>
  </si>
  <si>
    <t>Other Professional Fees</t>
  </si>
  <si>
    <t>Professional Fees Subtotal</t>
  </si>
  <si>
    <t>Tax Credit Issuer Fees</t>
  </si>
  <si>
    <t>Application Fees</t>
  </si>
  <si>
    <t>Construction Points</t>
  </si>
  <si>
    <t>Perm Loan Points</t>
  </si>
  <si>
    <t>Construction Inspection</t>
  </si>
  <si>
    <t>Architect Fee</t>
  </si>
  <si>
    <t>Lender Legal Fees</t>
  </si>
  <si>
    <t>MIP</t>
  </si>
  <si>
    <t>Bond -- Rating Agency</t>
  </si>
  <si>
    <t>Bond -- Trustee</t>
  </si>
  <si>
    <t>Bond -- Underwriter</t>
  </si>
  <si>
    <t>Bond -- Underwriter's Counsel</t>
  </si>
  <si>
    <t>Bond -- Bond Counsel</t>
  </si>
  <si>
    <t>Bond -- Other</t>
  </si>
  <si>
    <t>Construction Interest</t>
  </si>
  <si>
    <t>Other Lender Fees</t>
  </si>
  <si>
    <t>Lender Fees Subtotal</t>
  </si>
  <si>
    <t>Liability Insurance</t>
  </si>
  <si>
    <t>Hazard Insurance</t>
  </si>
  <si>
    <t>Real Estate Taxes</t>
  </si>
  <si>
    <t>Negative Operations</t>
  </si>
  <si>
    <t>Other Construction Period</t>
  </si>
  <si>
    <t>Construction Period Subtotal</t>
  </si>
  <si>
    <t>Leasing Personnel</t>
  </si>
  <si>
    <t>Advertising</t>
  </si>
  <si>
    <t>Model Units</t>
  </si>
  <si>
    <t>Other Marketing &amp; Leasing</t>
  </si>
  <si>
    <t>Marketing &amp; Leasing Subtotal</t>
  </si>
  <si>
    <t>Rent Differential</t>
  </si>
  <si>
    <t>Personnel Expenses</t>
  </si>
  <si>
    <t>Moving Expenses</t>
  </si>
  <si>
    <t>Other Tenant Relocation</t>
  </si>
  <si>
    <t>Tenant Relocation Subtotal</t>
  </si>
  <si>
    <t>Developer Fee</t>
  </si>
  <si>
    <t>Deferred Developer Fee</t>
  </si>
  <si>
    <t>Construction Admin.</t>
  </si>
  <si>
    <t>Salaries &amp; Overhead</t>
  </si>
  <si>
    <t>Other Developer Fee</t>
  </si>
  <si>
    <t>Developer Fee Subtotal</t>
  </si>
  <si>
    <t>Lease-Up Reserve</t>
  </si>
  <si>
    <t>ACC Reserve</t>
  </si>
  <si>
    <t>Insurance Reserve</t>
  </si>
  <si>
    <t>Property Tax Reserve</t>
  </si>
  <si>
    <t>Operating Reserve</t>
  </si>
  <si>
    <t>Replacement Reserve</t>
  </si>
  <si>
    <t>Other Reserves</t>
  </si>
  <si>
    <t>Reserves Subtotal</t>
  </si>
  <si>
    <t>Job Training &amp; Placement</t>
  </si>
  <si>
    <t>Day Care Services</t>
  </si>
  <si>
    <t>Tenant Services</t>
  </si>
  <si>
    <t>Other Tenant Services</t>
  </si>
  <si>
    <t>Tenant Services Subtotal</t>
  </si>
  <si>
    <t>Grand Total Dev Costs</t>
  </si>
  <si>
    <t>Total if Yes, No</t>
  </si>
  <si>
    <t>Total if No, No</t>
  </si>
  <si>
    <t>Total if Yes, Yes</t>
  </si>
  <si>
    <t>Total if No, Yes</t>
  </si>
  <si>
    <t>FMR?</t>
  </si>
  <si>
    <t>LIHTCs?</t>
  </si>
  <si>
    <t>MSA/ FMR Year</t>
  </si>
  <si>
    <t>AMI:</t>
  </si>
  <si>
    <t>Total Units</t>
  </si>
  <si>
    <t># BRs</t>
  </si>
  <si>
    <t>Unit Type Name</t>
  </si>
  <si>
    <t>Gross Square Feet</t>
  </si>
  <si>
    <t># Baths</t>
  </si>
  <si>
    <t>Utility Allowance</t>
  </si>
  <si>
    <t># Resident Manager Units</t>
  </si>
  <si>
    <t># LIHTC Units</t>
  </si>
  <si>
    <t># ARC Units</t>
  </si>
  <si>
    <t># HOME Units</t>
  </si>
  <si>
    <t># of Units</t>
  </si>
  <si>
    <t>Monthly Tenant Rent</t>
  </si>
  <si>
    <t>Total Tenant Rent</t>
  </si>
  <si>
    <t>Max Tax Credit Rent</t>
  </si>
  <si>
    <t>FMR Rent</t>
  </si>
  <si>
    <t>Controlling Maximum Rent</t>
  </si>
  <si>
    <t>Variance from Max Rent</t>
  </si>
  <si>
    <t>Max AMI Based Rent</t>
  </si>
  <si>
    <t>Total Monthly Rent</t>
  </si>
  <si>
    <t>Avg. Monthly Rent</t>
  </si>
  <si>
    <t>LIHTC Square Footage</t>
  </si>
  <si>
    <t>Non-LIHTC SF</t>
  </si>
  <si>
    <t>Lesser Rent</t>
  </si>
  <si>
    <t>Studio - A</t>
  </si>
  <si>
    <t>Studio - B</t>
  </si>
  <si>
    <t>Studio - C</t>
  </si>
  <si>
    <t>Studio - D</t>
  </si>
  <si>
    <t>Studio - E</t>
  </si>
  <si>
    <t>Studio - F</t>
  </si>
  <si>
    <t>Studio - G</t>
  </si>
  <si>
    <t>Studio - H</t>
  </si>
  <si>
    <t>Studio - I</t>
  </si>
  <si>
    <t>Studio - J</t>
  </si>
  <si>
    <t>Studio - K</t>
  </si>
  <si>
    <t>Studio - L</t>
  </si>
  <si>
    <t>Studio - M</t>
  </si>
  <si>
    <t>Subtotal 0 BRs</t>
  </si>
  <si>
    <t>1 BR - A</t>
  </si>
  <si>
    <t>1 BR - B</t>
  </si>
  <si>
    <t>1 BR - C</t>
  </si>
  <si>
    <t>1 BR - D</t>
  </si>
  <si>
    <t>1 BR - E</t>
  </si>
  <si>
    <t>1 BR - F</t>
  </si>
  <si>
    <t>1 BR - G</t>
  </si>
  <si>
    <t>1 BR - H</t>
  </si>
  <si>
    <t>1 BR - I</t>
  </si>
  <si>
    <t>1 BR - J</t>
  </si>
  <si>
    <t>1 BR - K</t>
  </si>
  <si>
    <t>1 BR - L</t>
  </si>
  <si>
    <t>1 BR - M</t>
  </si>
  <si>
    <t>Subtotal 1 BRs</t>
  </si>
  <si>
    <t>2 BR - A</t>
  </si>
  <si>
    <t>2 BR - B</t>
  </si>
  <si>
    <t>2 BR - C</t>
  </si>
  <si>
    <t>2 BR - D</t>
  </si>
  <si>
    <t>2 BR - E</t>
  </si>
  <si>
    <t>2 BR - F</t>
  </si>
  <si>
    <t>2 BR - G</t>
  </si>
  <si>
    <t>2 BR - H</t>
  </si>
  <si>
    <t>2 BR - I</t>
  </si>
  <si>
    <t>2 BR - J</t>
  </si>
  <si>
    <t>2 BR - K</t>
  </si>
  <si>
    <t>2 BR - L</t>
  </si>
  <si>
    <t>2 BR - M</t>
  </si>
  <si>
    <t>Subtotal 2 BRs</t>
  </si>
  <si>
    <t>3 BR - A</t>
  </si>
  <si>
    <t>3 BR - B</t>
  </si>
  <si>
    <t>3 BR - C</t>
  </si>
  <si>
    <t>3 BR - D</t>
  </si>
  <si>
    <t>3 BR - E</t>
  </si>
  <si>
    <t>3 BR - F</t>
  </si>
  <si>
    <t>3 BR - G</t>
  </si>
  <si>
    <t>3 BR - H</t>
  </si>
  <si>
    <t>3 BR - I</t>
  </si>
  <si>
    <t>3 BR - J</t>
  </si>
  <si>
    <t>3 BR - K</t>
  </si>
  <si>
    <t>3 BR - L</t>
  </si>
  <si>
    <t>3 BR - M</t>
  </si>
  <si>
    <t>Subtotal 3 BRs</t>
  </si>
  <si>
    <t>4 BR - A</t>
  </si>
  <si>
    <t>4 BR - B</t>
  </si>
  <si>
    <t>4 BR - C</t>
  </si>
  <si>
    <t>4 BR - D</t>
  </si>
  <si>
    <t>4 BR - E</t>
  </si>
  <si>
    <t>4 BR - F</t>
  </si>
  <si>
    <t>4 BR - G</t>
  </si>
  <si>
    <t>4 BR - H</t>
  </si>
  <si>
    <t>4 BR - I</t>
  </si>
  <si>
    <t>4 BR - J</t>
  </si>
  <si>
    <t>4 BR - K</t>
  </si>
  <si>
    <t>4 BR - L</t>
  </si>
  <si>
    <t>4 BR - M</t>
  </si>
  <si>
    <t>Subtotal 4 BRs</t>
  </si>
  <si>
    <t>5 BR - A</t>
  </si>
  <si>
    <t>5 BR - B</t>
  </si>
  <si>
    <t>5 BR - C</t>
  </si>
  <si>
    <t>5 BR - D</t>
  </si>
  <si>
    <t>5 BR - E</t>
  </si>
  <si>
    <t>5 BR - F</t>
  </si>
  <si>
    <t>5 BR - G</t>
  </si>
  <si>
    <t>5 BR - H</t>
  </si>
  <si>
    <t>5 BR - I</t>
  </si>
  <si>
    <t>5 BR - J</t>
  </si>
  <si>
    <t>5 BR - K</t>
  </si>
  <si>
    <t>5 BR - L</t>
  </si>
  <si>
    <t>5 BR - M</t>
  </si>
  <si>
    <t>Subtotal 5 BRs</t>
  </si>
  <si>
    <t>Grand Total</t>
  </si>
  <si>
    <t>Less Monthly Vacancy &amp; Collection Loss</t>
  </si>
  <si>
    <t>Monthly Effective Residential Income</t>
  </si>
  <si>
    <t>Annual Effective Residential Income</t>
  </si>
  <si>
    <t>Commercial Income</t>
  </si>
  <si>
    <t>Space Name</t>
  </si>
  <si>
    <t>Annual Rent</t>
  </si>
  <si>
    <t>Rent Per Sq Ft</t>
  </si>
  <si>
    <t>Vacancy Rate</t>
  </si>
  <si>
    <t>Effective Annual Income</t>
  </si>
  <si>
    <t>Escalation Rate</t>
  </si>
  <si>
    <t>Comm #1</t>
  </si>
  <si>
    <t>Comm #2</t>
  </si>
  <si>
    <t>Comm #3</t>
  </si>
  <si>
    <t>Comm #4</t>
  </si>
  <si>
    <t>Comm #5</t>
  </si>
  <si>
    <t>Comm #6</t>
  </si>
  <si>
    <t>Comm #7</t>
  </si>
  <si>
    <t>Comm #8</t>
  </si>
  <si>
    <t>Comm #9</t>
  </si>
  <si>
    <t>Comm #10</t>
  </si>
  <si>
    <t>Comm #11</t>
  </si>
  <si>
    <t>Ttl Commercial Inc.</t>
  </si>
  <si>
    <t>Description of Other Income</t>
  </si>
  <si>
    <t>Net Income</t>
  </si>
  <si>
    <t>Per</t>
  </si>
  <si>
    <t>Annual Income</t>
  </si>
  <si>
    <t>Laundry</t>
  </si>
  <si>
    <t>Vending</t>
  </si>
  <si>
    <t>Year</t>
  </si>
  <si>
    <t>Other Income #3</t>
  </si>
  <si>
    <t>Other Income #4</t>
  </si>
  <si>
    <t>Other Income #5</t>
  </si>
  <si>
    <t>Other Income #6</t>
  </si>
  <si>
    <t>Other Income #7</t>
  </si>
  <si>
    <t>Other Income #8</t>
  </si>
  <si>
    <t>Other Income #9</t>
  </si>
  <si>
    <t>Other Income #10</t>
  </si>
  <si>
    <t>Other Income #11</t>
  </si>
  <si>
    <t>Ttl Other Income</t>
  </si>
  <si>
    <t>Gross Income</t>
  </si>
  <si>
    <t>Project Vacancy Rate:</t>
  </si>
  <si>
    <t>Historical Operations</t>
  </si>
  <si>
    <t>Op #</t>
  </si>
  <si>
    <t>Operating Costs</t>
  </si>
  <si>
    <t>Stabilized Amount</t>
  </si>
  <si>
    <t>Office Supplies</t>
  </si>
  <si>
    <t>Credit/ Background/ Drug Tests</t>
  </si>
  <si>
    <t>Telephone Service</t>
  </si>
  <si>
    <t>Marketing</t>
  </si>
  <si>
    <t>Property Manager</t>
  </si>
  <si>
    <t>Bad Debt</t>
  </si>
  <si>
    <t>Other Administration</t>
  </si>
  <si>
    <t>Administration Subtotal</t>
  </si>
  <si>
    <t>Management Fee</t>
  </si>
  <si>
    <t>% of EGI</t>
  </si>
  <si>
    <t>Asset Management Fee</t>
  </si>
  <si>
    <t>Property Manager Fee</t>
  </si>
  <si>
    <t>Other Management</t>
  </si>
  <si>
    <t>Management Fee Subtotal</t>
  </si>
  <si>
    <t>Administrative</t>
  </si>
  <si>
    <t>Operating</t>
  </si>
  <si>
    <t>Maintenance</t>
  </si>
  <si>
    <t>Employer Pd. Taxes &amp; Benefits</t>
  </si>
  <si>
    <t>Other Payroll</t>
  </si>
  <si>
    <t>Payroll Subtotal</t>
  </si>
  <si>
    <t>Property Insurance</t>
  </si>
  <si>
    <t>Other Taxes &amp; Insurance</t>
  </si>
  <si>
    <t>Taxes &amp; Insurance Subtotal</t>
  </si>
  <si>
    <t>General Maintenance</t>
  </si>
  <si>
    <t>Pest Control</t>
  </si>
  <si>
    <t>Scavenger Service</t>
  </si>
  <si>
    <t xml:space="preserve">Exterior/ Façade </t>
  </si>
  <si>
    <t>Maintenance Supplies</t>
  </si>
  <si>
    <t xml:space="preserve">Elevator Contract </t>
  </si>
  <si>
    <t>HVAC</t>
  </si>
  <si>
    <t>Snow Removal</t>
  </si>
  <si>
    <t>Other Maintenance</t>
  </si>
  <si>
    <t>Maintenance Subtotal</t>
  </si>
  <si>
    <t>Turnover Costs</t>
  </si>
  <si>
    <t>Plumbing &amp; Electrical</t>
  </si>
  <si>
    <t>Carpet Replacement</t>
  </si>
  <si>
    <t>Appliance Repair</t>
  </si>
  <si>
    <t>Painting &amp; Decorating</t>
  </si>
  <si>
    <t>Tools &amp; Supplies</t>
  </si>
  <si>
    <t>Other Repairs</t>
  </si>
  <si>
    <t>Repairs Subtotal</t>
  </si>
  <si>
    <t>Gas</t>
  </si>
  <si>
    <t>Other Utilities</t>
  </si>
  <si>
    <t>Utilities Subtotal</t>
  </si>
  <si>
    <t>Replacement Reserves</t>
  </si>
  <si>
    <t>Operating Reserves</t>
  </si>
  <si>
    <t>Grand Total Operating Costs</t>
  </si>
  <si>
    <t>Net Operating Income</t>
  </si>
  <si>
    <t>Lien</t>
  </si>
  <si>
    <t>Source Type</t>
  </si>
  <si>
    <t>Lender / Partner</t>
  </si>
  <si>
    <t>% of Total Dev Costs</t>
  </si>
  <si>
    <t>DOH Loan Payment</t>
  </si>
  <si>
    <t>DOH Amount</t>
  </si>
  <si>
    <t>Private Loan #1</t>
  </si>
  <si>
    <t>Private Loan #2</t>
  </si>
  <si>
    <t>Tax Exempt Bond #1</t>
  </si>
  <si>
    <t>Tax Exempt Bond #2</t>
  </si>
  <si>
    <t>Tax Exempt Bond #3</t>
  </si>
  <si>
    <t>Equity Bridge Loan</t>
  </si>
  <si>
    <t>Good/Bad</t>
  </si>
  <si>
    <t>HOME</t>
  </si>
  <si>
    <t>ARC</t>
  </si>
  <si>
    <t>HOPE VI</t>
  </si>
  <si>
    <t>CDBG</t>
  </si>
  <si>
    <t>9% Competitve</t>
  </si>
  <si>
    <t>AFR?</t>
  </si>
  <si>
    <t>MAUI</t>
  </si>
  <si>
    <t>Boost?</t>
  </si>
  <si>
    <t>CHA Loan</t>
  </si>
  <si>
    <t>CHA</t>
  </si>
  <si>
    <t>IHDA Loan</t>
  </si>
  <si>
    <t>IHDA</t>
  </si>
  <si>
    <t>Illinois Donations</t>
  </si>
  <si>
    <t>40% at 50%?</t>
  </si>
  <si>
    <t>TIF Loan/ Grant</t>
  </si>
  <si>
    <t>FHLB AHP</t>
  </si>
  <si>
    <t>Grant #1</t>
  </si>
  <si>
    <t>Grant #2</t>
  </si>
  <si>
    <t>Grant #3</t>
  </si>
  <si>
    <t>Grant #4</t>
  </si>
  <si>
    <t>General Partner Equity</t>
  </si>
  <si>
    <t>General Partner Name</t>
  </si>
  <si>
    <t>Tax Credit Equity</t>
  </si>
  <si>
    <t>Syndicator/ Investor</t>
  </si>
  <si>
    <t>Term (years)</t>
  </si>
  <si>
    <t>Amtz Period</t>
  </si>
  <si>
    <t>Initial Int. Rate</t>
  </si>
  <si>
    <t>Year 1 Payment</t>
  </si>
  <si>
    <t>Stabilized DCR</t>
  </si>
  <si>
    <t>Balloon</t>
  </si>
  <si>
    <t>N/A</t>
  </si>
  <si>
    <t>(Gap) / Surplus:</t>
  </si>
  <si>
    <t>IL Donations Tax Credit Overview</t>
  </si>
  <si>
    <t>Donor</t>
  </si>
  <si>
    <t>Type of Donation</t>
  </si>
  <si>
    <t>Donation Amount</t>
  </si>
  <si>
    <t>Maximum Credits</t>
  </si>
  <si>
    <r>
      <t>Credits Applied For</t>
    </r>
    <r>
      <rPr>
        <b/>
        <sz val="9"/>
        <rFont val="Arial"/>
        <family val="2"/>
      </rPr>
      <t xml:space="preserve"> 
DOH                IHDA</t>
    </r>
  </si>
  <si>
    <t>Pay-In Rate</t>
  </si>
  <si>
    <t>Equity Generated</t>
  </si>
  <si>
    <t>Investor           (if applicable)</t>
  </si>
  <si>
    <t>1.</t>
  </si>
  <si>
    <t>Donor #1</t>
  </si>
  <si>
    <t>Real Property</t>
  </si>
  <si>
    <t xml:space="preserve">Bank One </t>
  </si>
  <si>
    <t>2.</t>
  </si>
  <si>
    <t>Donor #2</t>
  </si>
  <si>
    <t>Cash</t>
  </si>
  <si>
    <t>Donor #3</t>
  </si>
  <si>
    <t>Donor #4</t>
  </si>
  <si>
    <t>5.</t>
  </si>
  <si>
    <t>Donor #5</t>
  </si>
  <si>
    <t>6.</t>
  </si>
  <si>
    <t>Donor #6</t>
  </si>
  <si>
    <t>7.</t>
  </si>
  <si>
    <t>Donor #7</t>
  </si>
  <si>
    <t>8.</t>
  </si>
  <si>
    <t>Donor #8</t>
  </si>
  <si>
    <t>9.</t>
  </si>
  <si>
    <t>Donor #9</t>
  </si>
  <si>
    <t>10.</t>
  </si>
  <si>
    <t>Donor #10</t>
  </si>
  <si>
    <t>11.</t>
  </si>
  <si>
    <t>Donor #11</t>
  </si>
  <si>
    <t>12.</t>
  </si>
  <si>
    <t>Donor #12</t>
  </si>
  <si>
    <t>Totals</t>
  </si>
  <si>
    <t>Less Amount Used for Operating/ Technical Assistance</t>
  </si>
  <si>
    <t>% of Total Donations:</t>
  </si>
  <si>
    <t>Net Equity Used in Project</t>
  </si>
  <si>
    <t>Value of Total Donations</t>
  </si>
  <si>
    <t>Total Credits Allocated</t>
  </si>
  <si>
    <t>DOH Construction total</t>
  </si>
  <si>
    <t>DOH Perm Total</t>
  </si>
  <si>
    <t>Step #1 -- Determine the Total Lost Income to the Project</t>
  </si>
  <si>
    <t>View Detail</t>
  </si>
  <si>
    <t>What AMI Rents are ARC Units Replacing?</t>
  </si>
  <si>
    <t>ARC Units</t>
  </si>
  <si>
    <t>ARC as Percent of Total Units</t>
  </si>
  <si>
    <t xml:space="preserve">Annual Lost Income = </t>
  </si>
  <si>
    <t>Operating Costs With ARC Units</t>
  </si>
  <si>
    <t>Operating Costs Without ARC Units</t>
  </si>
  <si>
    <t>Operating Costs Increase (Savings)</t>
  </si>
  <si>
    <t>Annual Lost Debt Service</t>
  </si>
  <si>
    <t>Unit Type</t>
  </si>
  <si>
    <t>ARC Rent</t>
  </si>
  <si>
    <t>Replacement Rent</t>
  </si>
  <si>
    <t>Monthly Variance Per Unit</t>
  </si>
  <si>
    <t>Monthly Variance - All ARC Units</t>
  </si>
  <si>
    <t>Annual Variance - All ARC Units</t>
  </si>
  <si>
    <t>Grand Totals</t>
  </si>
  <si>
    <t>Less Vacancy Rate Difference</t>
  </si>
  <si>
    <t>Effective Income Loss</t>
  </si>
  <si>
    <t>Step #2 -- Determine Present Value of this Lost Income</t>
  </si>
  <si>
    <t>Select Loan/ TE Bond to Reduce:</t>
  </si>
  <si>
    <t>Permanent Loan Interest Rate</t>
  </si>
  <si>
    <t>Amortization Period</t>
  </si>
  <si>
    <t>Present Value Calculated</t>
  </si>
  <si>
    <t xml:space="preserve">Step #3 -- Set ARC Loan </t>
  </si>
  <si>
    <t>ARC Loan Calculated by Program</t>
  </si>
  <si>
    <t>Actual ARC Loan Amount</t>
  </si>
  <si>
    <t>Step #4 -- Loan Amount With and Without ARC Units</t>
  </si>
  <si>
    <t>Loan Amount with ARC Units</t>
  </si>
  <si>
    <t>Loan Amount without ARC Units</t>
  </si>
  <si>
    <t>Comments/ Notes:</t>
  </si>
  <si>
    <t>Enter any ARC related comments here</t>
  </si>
  <si>
    <t xml:space="preserve">Esc.  </t>
  </si>
  <si>
    <t>Historical Data</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</si>
  <si>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</si>
  <si>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</si>
  <si>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</si>
  <si>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</si>
  <si>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</si>
  <si>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</si>
  <si>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</si>
  <si>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</si>
  <si>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</si>
  <si>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</si>
  <si>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</si>
  <si>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</si>
  <si>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</si>
  <si>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</si>
  <si>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</si>
  <si>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</si>
  <si>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</si>
  <si>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</si>
  <si>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</si>
  <si>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</si>
  <si>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</si>
  <si>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</si>
  <si>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</si>
  <si>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</si>
  <si>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</si>
  <si>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</si>
  <si>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</si>
  <si>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</si>
  <si>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</si>
  <si>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</si>
  <si>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</si>
  <si>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</si>
  <si>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</si>
  <si>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</si>
  <si>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</si>
  <si>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</si>
  <si>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</si>
  <si>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</si>
  <si>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</si>
  <si>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</si>
  <si>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Rates</t>
  </si>
  <si>
    <t>Residential Income</t>
  </si>
  <si>
    <t>Total Gross Income</t>
  </si>
  <si>
    <t>Commercial Vacancy</t>
  </si>
  <si>
    <t>Other Vacancy</t>
  </si>
  <si>
    <t>Total Effective Income</t>
  </si>
  <si>
    <t>Total Loan Payments</t>
  </si>
  <si>
    <t>Cash Flow</t>
  </si>
  <si>
    <t>Debt Coverage Ratio</t>
  </si>
  <si>
    <t>Lease-Up Reserve Calculation</t>
  </si>
  <si>
    <t># Units Leased</t>
  </si>
  <si>
    <t># Units Occupied</t>
  </si>
  <si>
    <t>% Units Occupied</t>
  </si>
  <si>
    <t>Estimated LIHTCs Delivered*</t>
  </si>
  <si>
    <t>Income</t>
  </si>
  <si>
    <t>Expenses</t>
  </si>
  <si>
    <t>Debt</t>
  </si>
  <si>
    <t>cummulative</t>
  </si>
  <si>
    <t>100% occupied?</t>
  </si>
  <si>
    <t>Jan</t>
  </si>
  <si>
    <t>Mar</t>
  </si>
  <si>
    <t>Apr</t>
  </si>
  <si>
    <t>May</t>
  </si>
  <si>
    <t>Jun</t>
  </si>
  <si>
    <t>Jul</t>
  </si>
  <si>
    <t>Aug</t>
  </si>
  <si>
    <t>Sep</t>
  </si>
  <si>
    <t>Oct</t>
  </si>
  <si>
    <t>Nov</t>
  </si>
  <si>
    <t>Dec</t>
  </si>
  <si>
    <t>Year End Total</t>
  </si>
  <si>
    <t>Lease-Up Reserve Year Total</t>
  </si>
  <si>
    <t>Total Lease-Up Reserve</t>
  </si>
  <si>
    <t>* Assumes all buildings are constructed and placed in service on the same dates.</t>
  </si>
  <si>
    <t>Development Cost</t>
  </si>
  <si>
    <t>Total Amount</t>
  </si>
  <si>
    <t>DOH Eligible</t>
  </si>
  <si>
    <t>DOH Ineligible</t>
  </si>
  <si>
    <t>Anticipated DOH Uses</t>
  </si>
  <si>
    <t>Percent of Total Costs</t>
  </si>
  <si>
    <t>DOH Loan Funds</t>
  </si>
  <si>
    <t>IHDA Trust Fund</t>
  </si>
  <si>
    <t>Total DOH Loan Funds</t>
  </si>
  <si>
    <t>Restructuring Analysis Overview</t>
  </si>
  <si>
    <t>Project Overview</t>
  </si>
  <si>
    <t>Square Footage</t>
  </si>
  <si>
    <t>Site Area Sq. Ft.:</t>
  </si>
  <si>
    <t>Developer Name:</t>
  </si>
  <si>
    <t>Building Gross</t>
  </si>
  <si>
    <t>Contact:</t>
  </si>
  <si>
    <t>Ph:</t>
  </si>
  <si>
    <t>Building Net</t>
  </si>
  <si>
    <t>Location:</t>
  </si>
  <si>
    <t>Chicago, IL</t>
  </si>
  <si>
    <t>Commercial Space</t>
  </si>
  <si>
    <t># of Buildings:</t>
  </si>
  <si>
    <t>Census Tracts:</t>
  </si>
  <si>
    <t>Other Non-Res. Space</t>
  </si>
  <si>
    <t>Ward:</t>
  </si>
  <si>
    <t>Community Area:</t>
  </si>
  <si>
    <t>Bldg Type:</t>
  </si>
  <si>
    <t>Alderman:</t>
  </si>
  <si>
    <t>Team/ R.M:</t>
  </si>
  <si>
    <t>Development Costs to Purchase/ Stabilize Building</t>
  </si>
  <si>
    <t>% of Total</t>
  </si>
  <si>
    <t>Refinancing Date</t>
  </si>
  <si>
    <t>Acquisition</t>
  </si>
  <si>
    <t>Constr. Completion</t>
  </si>
  <si>
    <t>Stabilized Operations</t>
  </si>
  <si>
    <t>Soft Costs</t>
  </si>
  <si>
    <t>Version Number:</t>
  </si>
  <si>
    <t>Appraised Value:</t>
  </si>
  <si>
    <t>Grand Total Development Costs</t>
  </si>
  <si>
    <t>First Negative Year</t>
  </si>
  <si>
    <t>Existing  &amp; Proposed Sources of Funds</t>
  </si>
  <si>
    <t>Existing Sources</t>
  </si>
  <si>
    <t>Proposed Sources</t>
  </si>
  <si>
    <t>Type of Fund</t>
  </si>
  <si>
    <t>Amtz.</t>
  </si>
  <si>
    <t>Int Rate</t>
  </si>
  <si>
    <t>Payment</t>
  </si>
  <si>
    <t>DCR</t>
  </si>
  <si>
    <t>Loans/ Bonds</t>
  </si>
  <si>
    <t>All DOH Loans</t>
  </si>
  <si>
    <t>All Other Loans</t>
  </si>
  <si>
    <t>All Grants</t>
  </si>
  <si>
    <t>GP Capital</t>
  </si>
  <si>
    <t>Deferred Dev Fee</t>
  </si>
  <si>
    <t>Total Sources</t>
  </si>
  <si>
    <t>Sources Comments:</t>
  </si>
  <si>
    <t>Vacancy &amp; Bad Debt</t>
  </si>
  <si>
    <t>%</t>
  </si>
  <si>
    <t>Effective Income</t>
  </si>
  <si>
    <t>NOI</t>
  </si>
  <si>
    <t>Overall Comments:</t>
  </si>
  <si>
    <t># of BINs</t>
  </si>
  <si>
    <t>BIN #</t>
  </si>
  <si>
    <t>Name</t>
  </si>
  <si>
    <t>Building Type</t>
  </si>
  <si>
    <t>Census Tract</t>
  </si>
  <si>
    <t>Construction Start Date</t>
  </si>
  <si>
    <t>Construction End Date</t>
  </si>
  <si>
    <t>Year Placed in Service (LIHTC)</t>
  </si>
  <si>
    <t>Address</t>
  </si>
  <si>
    <t>% of Total Square Feet</t>
  </si>
  <si>
    <t># Non-LIHTC Units</t>
  </si>
  <si>
    <t># RM Units</t>
  </si>
  <si>
    <t>% LIHTC Units</t>
  </si>
  <si>
    <t># LIHTC Sq. Ft.</t>
  </si>
  <si>
    <t>Non-LIHTC Sq. Ft.</t>
  </si>
  <si>
    <t>% LIHTC Square Feet</t>
  </si>
  <si>
    <t>LIHTCs Estimated</t>
  </si>
  <si>
    <t>Maximum Credits Calculated:</t>
  </si>
  <si>
    <t>Credits Applied For:</t>
  </si>
  <si>
    <t>All Buildings</t>
  </si>
  <si>
    <t>% of Total Building Square Footage</t>
  </si>
  <si>
    <t>% LIHTC Sq Ft.</t>
  </si>
  <si>
    <t>LIHTC Applicable Percentage</t>
  </si>
  <si>
    <t>Acquisition Credit Calculation</t>
  </si>
  <si>
    <t xml:space="preserve">Acquisition Basis  </t>
  </si>
  <si>
    <t>Less Acquisition Reductions</t>
  </si>
  <si>
    <t>Less Ineligible Funds</t>
  </si>
  <si>
    <t>Eligible Acquisition Basis</t>
  </si>
  <si>
    <t>Qualified Basis</t>
  </si>
  <si>
    <t>Tax Rate</t>
  </si>
  <si>
    <t>Maximum Acquisition Credits</t>
  </si>
  <si>
    <t>Rehab/ New Const. Calc.</t>
  </si>
  <si>
    <t xml:space="preserve">Rehab Basis  </t>
  </si>
  <si>
    <t>Less Rehab Reductions</t>
  </si>
  <si>
    <t>Less Historic Tax Credits</t>
  </si>
  <si>
    <t>Non-Residential HTCs</t>
  </si>
  <si>
    <t>Eligible Rehab Basis</t>
  </si>
  <si>
    <t>Maximum Rehab/ New Cons Credits</t>
  </si>
  <si>
    <t>Maximum LIHTCs</t>
  </si>
  <si>
    <t>Credits Applied For</t>
  </si>
  <si>
    <t xml:space="preserve">% of Maximum </t>
  </si>
  <si>
    <t>IHDA Allocation</t>
  </si>
  <si>
    <t>DOH Allocation</t>
  </si>
  <si>
    <t>Total Allocation</t>
  </si>
  <si>
    <t>LIHTC Equity Generated</t>
  </si>
  <si>
    <t>Historic Credit Calculation</t>
  </si>
  <si>
    <t>Historic Basis</t>
  </si>
  <si>
    <t>Less Historic Reductions</t>
  </si>
  <si>
    <t>Adjusted Historic Basis</t>
  </si>
  <si>
    <t>Historic Credits Calculated</t>
  </si>
  <si>
    <t>Credits Used in Calculations</t>
  </si>
  <si>
    <t>Construction Loan Closing</t>
  </si>
  <si>
    <t>Construction Completion</t>
  </si>
  <si>
    <t>Rent Up Period (# Months)</t>
  </si>
  <si>
    <t>100% Occupancy Date</t>
  </si>
  <si>
    <t>Affordability Overview</t>
  </si>
  <si>
    <t>AMI Level</t>
  </si>
  <si>
    <t>TTL</t>
  </si>
  <si>
    <t>LIHTC Overview</t>
  </si>
  <si>
    <t>Issuing Agency:</t>
  </si>
  <si>
    <t>LIHTC Allocation Amount</t>
  </si>
  <si>
    <t>Price Per LI Credit</t>
  </si>
  <si>
    <t>Est. Historic Credits</t>
  </si>
  <si>
    <t>Price Per Historic Credit</t>
  </si>
  <si>
    <t>When will rate be locked?</t>
  </si>
  <si>
    <t xml:space="preserve">Res. Mngr </t>
  </si>
  <si>
    <t>% LIHTC</t>
  </si>
  <si>
    <t>Weighted Average</t>
  </si>
  <si>
    <t>Development Costs Summary</t>
  </si>
  <si>
    <t>Category</t>
  </si>
  <si>
    <t>Per Gross SF</t>
  </si>
  <si>
    <t>Income &amp; Expenses</t>
  </si>
  <si>
    <t># Units</t>
  </si>
  <si>
    <t>Average Rent</t>
  </si>
  <si>
    <t>Mo. Income</t>
  </si>
  <si>
    <t>Annual Inc.</t>
  </si>
  <si>
    <t>Other Construction</t>
  </si>
  <si>
    <t>Infrastructure</t>
  </si>
  <si>
    <t>Environmental</t>
  </si>
  <si>
    <t>Professional Fees</t>
  </si>
  <si>
    <t>Gross Residential Income</t>
  </si>
  <si>
    <t>Lender Fees &amp; Interest</t>
  </si>
  <si>
    <t>Construction Period</t>
  </si>
  <si>
    <t>Less Res. Vacancy</t>
  </si>
  <si>
    <t>Marketing &amp; Leasing</t>
  </si>
  <si>
    <t>Effective Residential Income</t>
  </si>
  <si>
    <t>Tenant Relocation</t>
  </si>
  <si>
    <t>Effective Commercial Income</t>
  </si>
  <si>
    <t>Effective Other Income</t>
  </si>
  <si>
    <t>Developer Fees</t>
  </si>
  <si>
    <t>Gross Effective Income</t>
  </si>
  <si>
    <t>Total Uses</t>
  </si>
  <si>
    <t>Annual Per Unit</t>
  </si>
  <si>
    <t>Monthly</t>
  </si>
  <si>
    <t xml:space="preserve">Annual </t>
  </si>
  <si>
    <t>Adjusted Tax Credit Basis</t>
  </si>
  <si>
    <t>Rehab</t>
  </si>
  <si>
    <t>Historic</t>
  </si>
  <si>
    <t>Less Operating Expenses</t>
  </si>
  <si>
    <t>Depr. Bldg. Basis</t>
  </si>
  <si>
    <t>Depr. Personal Prop.</t>
  </si>
  <si>
    <t>Total Debt Year 1</t>
  </si>
  <si>
    <t>Cash Flow Year 1</t>
  </si>
  <si>
    <t>Total Depreciable</t>
  </si>
  <si>
    <t>DCR Year 1</t>
  </si>
  <si>
    <t>(Gap) /  Surplus</t>
  </si>
  <si>
    <t>Constr Term</t>
  </si>
  <si>
    <t>Avg. Rate</t>
  </si>
  <si>
    <t>Perm Term</t>
  </si>
  <si>
    <t>Perm  Rate</t>
  </si>
  <si>
    <t>Loan Description</t>
  </si>
  <si>
    <t>Lead Lender/ Syndicator</t>
  </si>
  <si>
    <t>Type</t>
  </si>
  <si>
    <t>Amtz</t>
  </si>
  <si>
    <t>Fixed / Varied</t>
  </si>
  <si>
    <t>All Private Loans</t>
  </si>
  <si>
    <t xml:space="preserve">Loan  </t>
  </si>
  <si>
    <t xml:space="preserve">Fixed  </t>
  </si>
  <si>
    <t>All Tax Exempt Bonds</t>
  </si>
  <si>
    <t>City of Chicago</t>
  </si>
  <si>
    <t>IHDA/ CHA/ Other</t>
  </si>
  <si>
    <t>Equity</t>
  </si>
  <si>
    <t>LIHTC Pay-In Rate</t>
  </si>
  <si>
    <t xml:space="preserve">HTC Pay-In </t>
  </si>
  <si>
    <t>Total Sources of Funds</t>
  </si>
  <si>
    <t>Table of Income Limits - Effective April 1, 2021</t>
  </si>
  <si>
    <t>100% Area Median Income</t>
  </si>
  <si>
    <t>1 Person</t>
  </si>
  <si>
    <t>2 Person</t>
  </si>
  <si>
    <t>3 Person</t>
  </si>
  <si>
    <t>4 Person</t>
  </si>
  <si>
    <t>5 Person</t>
  </si>
  <si>
    <t>6 Person</t>
  </si>
  <si>
    <t>7 Person</t>
  </si>
  <si>
    <t>8 Person</t>
  </si>
  <si>
    <t>Maximum Affordable Monthly Rents 2021</t>
  </si>
  <si>
    <t>Number of Bedrooms</t>
  </si>
  <si>
    <t>50%
(Low HOME Rent Limit)</t>
  </si>
  <si>
    <t>High HOME Rent Limit</t>
  </si>
  <si>
    <t>w/Utility allowances per CHA schedule for:</t>
  </si>
  <si>
    <t>Cooking gas &amp; other electric (not heat)</t>
  </si>
  <si>
    <t>Electric heat, cooking gas &amp; other electric</t>
  </si>
  <si>
    <t>Gas heat, cooking gas &amp; other electric (not heat)</t>
  </si>
  <si>
    <t>Electric cooking &amp; other electric (not heat)</t>
  </si>
  <si>
    <t>Other electric only (not cooking or heat)</t>
  </si>
  <si>
    <t>Single Family</t>
  </si>
  <si>
    <t>Low-rise/Dupliex/Row Hous</t>
  </si>
  <si>
    <t>High-rise</t>
  </si>
  <si>
    <t>Max Loan</t>
  </si>
  <si>
    <t>Internal Loan Committee</t>
  </si>
  <si>
    <t>RDA Exhibits</t>
  </si>
  <si>
    <t>Escrow Agreement - Exhibit D</t>
  </si>
  <si>
    <t>Developer Fee Calculator</t>
  </si>
  <si>
    <t>(Home Eligible and Ineligible Costs)</t>
  </si>
  <si>
    <t>SOURCES:</t>
  </si>
  <si>
    <t>% of TDC</t>
  </si>
  <si>
    <t>(Exhibit C)</t>
  </si>
  <si>
    <t>TDC less pro forma Developer Fee</t>
  </si>
  <si>
    <t>Eligible Costs</t>
  </si>
  <si>
    <t>Ineligible Costs*</t>
  </si>
  <si>
    <t>TIF-FUNDED IMPROVEMENTS</t>
  </si>
  <si>
    <t>Item</t>
  </si>
  <si>
    <t xml:space="preserve">Method 1: 10% of first $5MM of TDC less pro forma Dev Fee, </t>
  </si>
  <si>
    <t>Land</t>
  </si>
  <si>
    <t>Hard Costs</t>
  </si>
  <si>
    <t>5% thereafter, not to exceed $2.5MM in total.</t>
  </si>
  <si>
    <t>Project Budget*</t>
  </si>
  <si>
    <t>% TIF Eligible</t>
  </si>
  <si>
    <t>TIF Eligible Cost</t>
  </si>
  <si>
    <t>Hard Cost - MKT Rate</t>
  </si>
  <si>
    <t>Land Acquisition</t>
  </si>
  <si>
    <t>Total Soft Costs Less Ineligibles</t>
  </si>
  <si>
    <t xml:space="preserve">Commercial Costs </t>
  </si>
  <si>
    <t>TDC less pro forma Dev Fee</t>
  </si>
  <si>
    <t>Public Works or Site Improvements</t>
  </si>
  <si>
    <t>Total Eligible Costs</t>
  </si>
  <si>
    <t>TDC Portion</t>
  </si>
  <si>
    <t>Affordable Housing Unit Hard Costs</t>
  </si>
  <si>
    <t>Issuer &amp; Application Fees</t>
  </si>
  <si>
    <t>Applicable Fee Rate for TDC Portion</t>
  </si>
  <si>
    <t>Environmental Remediation</t>
  </si>
  <si>
    <t>Bond Issuance Fees</t>
  </si>
  <si>
    <t>Fee Subtotal by TDC Portion</t>
  </si>
  <si>
    <t>Eligible Soft Costs (Constr. Related)</t>
  </si>
  <si>
    <t>Real Estate Tax Escrow</t>
  </si>
  <si>
    <t>TOTAL METHOD 1 DEV FEE</t>
  </si>
  <si>
    <t xml:space="preserve">     Architect-Design</t>
  </si>
  <si>
    <t>Insurance Escrow</t>
  </si>
  <si>
    <t xml:space="preserve">     Architect-Supervision</t>
  </si>
  <si>
    <t>Method 2: 6% of TDC less pro forma Dev Fee, not to exceed $2.5MM in total.</t>
  </si>
  <si>
    <t xml:space="preserve">     Engineer</t>
  </si>
  <si>
    <t>Furniture &amp; Fixtures</t>
  </si>
  <si>
    <t>Soft Interest</t>
  </si>
  <si>
    <t>Lease Up Reserve</t>
  </si>
  <si>
    <t>Fee Rate</t>
  </si>
  <si>
    <t>TOTAL</t>
  </si>
  <si>
    <t>TOTAL METHOD 2 DEV FEE</t>
  </si>
  <si>
    <t>(Exhibit H-2)</t>
  </si>
  <si>
    <t>Total Ineligible Costs</t>
  </si>
  <si>
    <t>ALLOWABLE DEV FEE *</t>
  </si>
  <si>
    <t>* §92.14 Prohibited Activities and Fees</t>
  </si>
  <si>
    <t>MBE/WBE BUDGET</t>
  </si>
  <si>
    <t>Project Hard Costs</t>
  </si>
  <si>
    <t>Project Soft Costs (Arch., Eng., Etc.)</t>
  </si>
  <si>
    <t>USES:</t>
  </si>
  <si>
    <t>$/SF of Building*</t>
  </si>
  <si>
    <t>Project MBE/WBE Total Budgets</t>
  </si>
  <si>
    <t>Project MBE Total at 26%</t>
  </si>
  <si>
    <t>Project WBE Total at 6%</t>
  </si>
  <si>
    <t>Const Contingency</t>
  </si>
  <si>
    <t>* With the exception of Land, Project Budget amounts above are based on</t>
  </si>
  <si>
    <t xml:space="preserve">           Total Hard Costs</t>
  </si>
  <si>
    <t>affordable units</t>
  </si>
  <si>
    <t>(Exhibit H-1)</t>
  </si>
  <si>
    <t>Architect's Fee</t>
  </si>
  <si>
    <t>PROJECT BUDGET</t>
  </si>
  <si>
    <t>App./Loan Orig. Fees</t>
  </si>
  <si>
    <t>Legal Fees</t>
  </si>
  <si>
    <t>Marketing Fees</t>
  </si>
  <si>
    <t>Loan Interest</t>
  </si>
  <si>
    <t>Unit Construction Costs</t>
  </si>
  <si>
    <t xml:space="preserve">Environmental </t>
  </si>
  <si>
    <t>Commercial Construction Costs</t>
  </si>
  <si>
    <t>Other Hard Construction Costs</t>
  </si>
  <si>
    <t>Soft Costs:</t>
  </si>
  <si>
    <t>Bond Costs</t>
  </si>
  <si>
    <t xml:space="preserve">  Soil Testing</t>
  </si>
  <si>
    <t xml:space="preserve">  Professional Fees</t>
  </si>
  <si>
    <t>Other soft costs</t>
  </si>
  <si>
    <t xml:space="preserve">  Lender Fees</t>
  </si>
  <si>
    <t xml:space="preserve">             Total Soft Costs</t>
  </si>
  <si>
    <t xml:space="preserve">  Insurance and Taxes</t>
  </si>
  <si>
    <t xml:space="preserve">  Marketing and Leasing</t>
  </si>
  <si>
    <t xml:space="preserve">  Developer Fee</t>
  </si>
  <si>
    <t xml:space="preserve">  Deferred Developer Fee</t>
  </si>
  <si>
    <t>*Gross building 
area (sq. ft.) =</t>
  </si>
  <si>
    <t>TDC per unit =</t>
  </si>
  <si>
    <t xml:space="preserve">      Reserves</t>
  </si>
  <si>
    <t>TDC psf =</t>
  </si>
  <si>
    <t xml:space="preserve">      Tenant Services</t>
  </si>
  <si>
    <t>Total Project Costs</t>
  </si>
  <si>
    <t>Total hard costs per unit=</t>
  </si>
  <si>
    <t>Total hard costs psf=</t>
  </si>
  <si>
    <t>When Will Rate Lock</t>
  </si>
  <si>
    <t>Receipt of Reservation Letter</t>
  </si>
  <si>
    <t>Building Types</t>
  </si>
  <si>
    <t>Reason for Acquisition Credits</t>
  </si>
  <si>
    <t>Type of Rehab Credits</t>
  </si>
  <si>
    <t>HistoricCreditReasons</t>
  </si>
  <si>
    <t>Ward</t>
  </si>
  <si>
    <t>Combination</t>
  </si>
  <si>
    <t>No LIHTCs</t>
  </si>
  <si>
    <t>Daniel La Spata</t>
  </si>
  <si>
    <t>Construction Loan Closing (TE Bond Deals only)</t>
  </si>
  <si>
    <t>Midrise</t>
  </si>
  <si>
    <t>Building has not been in use for prior 10 years</t>
  </si>
  <si>
    <t>2nd</t>
  </si>
  <si>
    <t>Brian Hopkins</t>
  </si>
  <si>
    <t>Single Family Homes</t>
  </si>
  <si>
    <t>Obtained title through a deed in lieu of foreclosure</t>
  </si>
  <si>
    <t>4% Competitive Credits</t>
  </si>
  <si>
    <t>National Historic Designation</t>
  </si>
  <si>
    <t>3rd</t>
  </si>
  <si>
    <t>Pat Dowell</t>
  </si>
  <si>
    <t>Issuers</t>
  </si>
  <si>
    <t>Rowhomes</t>
  </si>
  <si>
    <t>Property is being foreclosed by HUD</t>
  </si>
  <si>
    <t>4% Automatic Credits (TE Bonds)</t>
  </si>
  <si>
    <t>City or State Landmark Designation</t>
  </si>
  <si>
    <t>4th</t>
  </si>
  <si>
    <t>Sophia King</t>
  </si>
  <si>
    <t>Walk-Up</t>
  </si>
  <si>
    <t>Stacked Townhomes</t>
  </si>
  <si>
    <t>Purchasing from a non-profit</t>
  </si>
  <si>
    <t>5th</t>
  </si>
  <si>
    <t>Leslie Hairston</t>
  </si>
  <si>
    <t>DOH &amp; IHDA</t>
  </si>
  <si>
    <t>Per Site SF</t>
  </si>
  <si>
    <t>Elevator</t>
  </si>
  <si>
    <t>Townhomes</t>
  </si>
  <si>
    <t>6th</t>
  </si>
  <si>
    <t>Roderick Sawyer</t>
  </si>
  <si>
    <t>Per Bldg. GSF</t>
  </si>
  <si>
    <t>7th</t>
  </si>
  <si>
    <t>Gregory I. Mitchell</t>
  </si>
  <si>
    <t>8th</t>
  </si>
  <si>
    <t>Michelle Harris</t>
  </si>
  <si>
    <t>9th</t>
  </si>
  <si>
    <t>Anthony Beale</t>
  </si>
  <si>
    <t>Community Areas</t>
  </si>
  <si>
    <t>Months</t>
  </si>
  <si>
    <t>Periods</t>
  </si>
  <si>
    <t>OpAmounts</t>
  </si>
  <si>
    <t>TypeofProject</t>
  </si>
  <si>
    <t>10th</t>
  </si>
  <si>
    <t>SusanSadlowski Garza</t>
  </si>
  <si>
    <t>Albany Park</t>
  </si>
  <si>
    <t>Day</t>
  </si>
  <si>
    <t>11th</t>
  </si>
  <si>
    <t>Patrick D. Thompson</t>
  </si>
  <si>
    <t>Archer Heights</t>
  </si>
  <si>
    <t>Week</t>
  </si>
  <si>
    <t>Refinancing DOH Deal</t>
  </si>
  <si>
    <t>12th</t>
  </si>
  <si>
    <t>George A. Cardenas</t>
  </si>
  <si>
    <t>Armour Square</t>
  </si>
  <si>
    <t>Refinancing Non-DOH Deal</t>
  </si>
  <si>
    <t>13th</t>
  </si>
  <si>
    <t>Marty Quinn</t>
  </si>
  <si>
    <t>Ashburn</t>
  </si>
  <si>
    <t>14th</t>
  </si>
  <si>
    <t>Ed Burke</t>
  </si>
  <si>
    <t>Auburn Gresham</t>
  </si>
  <si>
    <t>15th</t>
  </si>
  <si>
    <t>Raymond A. Lopez</t>
  </si>
  <si>
    <t>Austin</t>
  </si>
  <si>
    <t>16th</t>
  </si>
  <si>
    <t>Stephanie Coleman</t>
  </si>
  <si>
    <t>Avalon Park</t>
  </si>
  <si>
    <t>17th</t>
  </si>
  <si>
    <t>David Moore</t>
  </si>
  <si>
    <t>Avondale</t>
  </si>
  <si>
    <t>AMIs</t>
  </si>
  <si>
    <t>GoodBad</t>
  </si>
  <si>
    <t>18th</t>
  </si>
  <si>
    <t>Derrick G. Curtis</t>
  </si>
  <si>
    <t>Belmont Cragin</t>
  </si>
  <si>
    <t>19th</t>
  </si>
  <si>
    <t>Matt O'Shea</t>
  </si>
  <si>
    <t>Beverly</t>
  </si>
  <si>
    <t>Good</t>
  </si>
  <si>
    <t>CHA Deal</t>
  </si>
  <si>
    <t>20th</t>
  </si>
  <si>
    <t>Jeanette B. Taylor</t>
  </si>
  <si>
    <t>Bridgeport</t>
  </si>
  <si>
    <t>Bad</t>
  </si>
  <si>
    <t>Regular Deal</t>
  </si>
  <si>
    <t>21st</t>
  </si>
  <si>
    <t>Howard B. Brookins Jr.</t>
  </si>
  <si>
    <t>Brighton Park</t>
  </si>
  <si>
    <t>22nd</t>
  </si>
  <si>
    <t>Michael D. Rodriguez</t>
  </si>
  <si>
    <t>Burnside</t>
  </si>
  <si>
    <t>23rd</t>
  </si>
  <si>
    <t>Silvana Tabares</t>
  </si>
  <si>
    <t>Calumet Heights</t>
  </si>
  <si>
    <t>24th</t>
  </si>
  <si>
    <t>Michael Scott, Jr.</t>
  </si>
  <si>
    <t>Chatham</t>
  </si>
  <si>
    <t>25th</t>
  </si>
  <si>
    <t>Byron Sigcho-Lopez</t>
  </si>
  <si>
    <t>Chicago Lawn</t>
  </si>
  <si>
    <t>26th</t>
  </si>
  <si>
    <t>Roberto Maldonado</t>
  </si>
  <si>
    <t>Clearing</t>
  </si>
  <si>
    <t>27th</t>
  </si>
  <si>
    <t>Walter Burnett, Jr.</t>
  </si>
  <si>
    <t>Douglas</t>
  </si>
  <si>
    <t>28th</t>
  </si>
  <si>
    <t>Jason Ervin</t>
  </si>
  <si>
    <t>Dunning</t>
  </si>
  <si>
    <t>29th</t>
  </si>
  <si>
    <t>Christopher Taliaferro</t>
  </si>
  <si>
    <t>East Garfield Park</t>
  </si>
  <si>
    <t>30th</t>
  </si>
  <si>
    <t>Ariel E. Reboyras</t>
  </si>
  <si>
    <t>East Side</t>
  </si>
  <si>
    <t>31st</t>
  </si>
  <si>
    <t>Felix Cardona Jr.</t>
  </si>
  <si>
    <t>Edgewater</t>
  </si>
  <si>
    <t>32nd</t>
  </si>
  <si>
    <t>Scott Waguespack</t>
  </si>
  <si>
    <t>Edison Park</t>
  </si>
  <si>
    <t>FHLB</t>
  </si>
  <si>
    <t>33rd</t>
  </si>
  <si>
    <t>Rossana Rodriguez Sanchez</t>
  </si>
  <si>
    <t>Englewood</t>
  </si>
  <si>
    <t>Atlanta</t>
  </si>
  <si>
    <t>34th</t>
  </si>
  <si>
    <t>Carrie M. Austin</t>
  </si>
  <si>
    <t>Forest Glen</t>
  </si>
  <si>
    <t>Boston</t>
  </si>
  <si>
    <t>35th</t>
  </si>
  <si>
    <t>Carlos Ramirez-Rosa</t>
  </si>
  <si>
    <t>Fuller Park</t>
  </si>
  <si>
    <t>36th</t>
  </si>
  <si>
    <t>Gilbert Villegas</t>
  </si>
  <si>
    <t>Gage Park</t>
  </si>
  <si>
    <t>GovtLenders</t>
  </si>
  <si>
    <t>Dallas</t>
  </si>
  <si>
    <t>37th</t>
  </si>
  <si>
    <t>Emma Mitts</t>
  </si>
  <si>
    <t>Garfield Ridge</t>
  </si>
  <si>
    <t>Des Moines</t>
  </si>
  <si>
    <t>38th</t>
  </si>
  <si>
    <t>Nicholas Sposato</t>
  </si>
  <si>
    <t>Grand Boulevard</t>
  </si>
  <si>
    <t>Indianapolis</t>
  </si>
  <si>
    <t>39th</t>
  </si>
  <si>
    <t>Samantha Nugent</t>
  </si>
  <si>
    <t>Greater Grand Crossing</t>
  </si>
  <si>
    <t>New York</t>
  </si>
  <si>
    <t>40th</t>
  </si>
  <si>
    <t>Andre Vasquez</t>
  </si>
  <si>
    <t>Hegewisch</t>
  </si>
  <si>
    <t>Pittsburgh</t>
  </si>
  <si>
    <t>41st</t>
  </si>
  <si>
    <t>Anthony V. Napolitano</t>
  </si>
  <si>
    <t>Hermosa</t>
  </si>
  <si>
    <t>San Francisco</t>
  </si>
  <si>
    <t>42nd</t>
  </si>
  <si>
    <t>Brendan Reilly</t>
  </si>
  <si>
    <t>Humboldt Park</t>
  </si>
  <si>
    <t>Seattle</t>
  </si>
  <si>
    <t>43rd</t>
  </si>
  <si>
    <t>Michele Smith</t>
  </si>
  <si>
    <t>Hyde Park</t>
  </si>
  <si>
    <t>Topeka</t>
  </si>
  <si>
    <t>44th</t>
  </si>
  <si>
    <t>Thomas M. Tunney</t>
  </si>
  <si>
    <t>Irving Park</t>
  </si>
  <si>
    <t>45th</t>
  </si>
  <si>
    <t>Jim Gardiner</t>
  </si>
  <si>
    <t>Jefferson Park</t>
  </si>
  <si>
    <t>46th</t>
  </si>
  <si>
    <t>James Cappleman</t>
  </si>
  <si>
    <t>Kenwood</t>
  </si>
  <si>
    <t>Escalation Rates</t>
  </si>
  <si>
    <t>47th</t>
  </si>
  <si>
    <t>Matt Martin</t>
  </si>
  <si>
    <t>Lakeview</t>
  </si>
  <si>
    <t>48th</t>
  </si>
  <si>
    <t>Harry Osterman</t>
  </si>
  <si>
    <t>Lincoln Park</t>
  </si>
  <si>
    <t>49th</t>
  </si>
  <si>
    <t>Maria Hadden</t>
  </si>
  <si>
    <t>Lincoln Square</t>
  </si>
  <si>
    <t>Both</t>
  </si>
  <si>
    <t>50th</t>
  </si>
  <si>
    <t>Debra Silverstein</t>
  </si>
  <si>
    <t>Logan Square</t>
  </si>
  <si>
    <t>Loop</t>
  </si>
  <si>
    <t>Lower West Side</t>
  </si>
  <si>
    <t>McKinley Park</t>
  </si>
  <si>
    <t>Montclare</t>
  </si>
  <si>
    <t>Morgan Park</t>
  </si>
  <si>
    <t>Mount Greenwood</t>
  </si>
  <si>
    <t>Near North Side</t>
  </si>
  <si>
    <t>Near South Side</t>
  </si>
  <si>
    <t>Near West Side</t>
  </si>
  <si>
    <t>New City</t>
  </si>
  <si>
    <t>North Center</t>
  </si>
  <si>
    <t>DOH Sources</t>
  </si>
  <si>
    <t>All Sources of Funds</t>
  </si>
  <si>
    <t>North Lawndale</t>
  </si>
  <si>
    <t>UnitNumber</t>
  </si>
  <si>
    <t>Version Number</t>
  </si>
  <si>
    <t>Grant</t>
  </si>
  <si>
    <t>Private Loans</t>
  </si>
  <si>
    <t>North Park</t>
  </si>
  <si>
    <t>Lien Position</t>
  </si>
  <si>
    <t>Norwood Park</t>
  </si>
  <si>
    <t>Corporate - Other</t>
  </si>
  <si>
    <t>CHA - PHA Funds</t>
  </si>
  <si>
    <t>Oakland</t>
  </si>
  <si>
    <t>IL Donations Tax Credit</t>
  </si>
  <si>
    <t>O'Hare</t>
  </si>
  <si>
    <t>Portage Park</t>
  </si>
  <si>
    <t>LIHTCs</t>
  </si>
  <si>
    <t>Pullman</t>
  </si>
  <si>
    <t>TIF Loan</t>
  </si>
  <si>
    <t>Riverdale</t>
  </si>
  <si>
    <t>Grant - Other</t>
  </si>
  <si>
    <t>Rogers Park</t>
  </si>
  <si>
    <t>Roseland</t>
  </si>
  <si>
    <t>South Chicago</t>
  </si>
  <si>
    <t>IL Donations Credit</t>
  </si>
  <si>
    <t>South Deering</t>
  </si>
  <si>
    <t>South Lawndale</t>
  </si>
  <si>
    <t>Soft Loan - Other</t>
  </si>
  <si>
    <t>South Shore</t>
  </si>
  <si>
    <t>Uptown</t>
  </si>
  <si>
    <t>Washington Heights</t>
  </si>
  <si>
    <t>Washington Park</t>
  </si>
  <si>
    <t>West Elsdon</t>
  </si>
  <si>
    <t>West Englewood</t>
  </si>
  <si>
    <t>DonationType</t>
  </si>
  <si>
    <t>West Garfield Park</t>
  </si>
  <si>
    <t>West Lawn</t>
  </si>
  <si>
    <t>Personal Property</t>
  </si>
  <si>
    <t>Lenders</t>
  </si>
  <si>
    <t>West Pullman</t>
  </si>
  <si>
    <t>Alliance FSB</t>
  </si>
  <si>
    <t>West Ridge</t>
  </si>
  <si>
    <t>Securities</t>
  </si>
  <si>
    <t>Amalgamated Bank of Chicago</t>
  </si>
  <si>
    <t>West Town</t>
  </si>
  <si>
    <t>American Metro Bank</t>
  </si>
  <si>
    <t>Woodlawn</t>
  </si>
  <si>
    <t>Austin Bank of Chicago</t>
  </si>
  <si>
    <t>Bank One, NA</t>
  </si>
  <si>
    <t>BankChicago</t>
  </si>
  <si>
    <t>Bridgeview Uptown Bank</t>
  </si>
  <si>
    <t>Broadway Bank</t>
  </si>
  <si>
    <t>Builders Bank</t>
  </si>
  <si>
    <t>Burling Bank</t>
  </si>
  <si>
    <t>Chicago Community Bank</t>
  </si>
  <si>
    <t>Columbus Savings Bank</t>
  </si>
  <si>
    <t>Community Bank of Lawndale</t>
  </si>
  <si>
    <t>Community Bank of Ravenswood</t>
  </si>
  <si>
    <t>Community Savings Bank</t>
  </si>
  <si>
    <t>Corus Bank, NA</t>
  </si>
  <si>
    <t>Delaware Place Bank</t>
  </si>
  <si>
    <t>Developer's Mortgage Corp.</t>
  </si>
  <si>
    <t>FHA Insured</t>
  </si>
  <si>
    <t>First Commercial Bank</t>
  </si>
  <si>
    <t>Foster Bank</t>
  </si>
  <si>
    <t>General Partner(s)</t>
  </si>
  <si>
    <t>GMAC Commercial Mortgage</t>
  </si>
  <si>
    <t>Highland Community Bank</t>
  </si>
  <si>
    <t>Hoyne Savings Bank</t>
  </si>
  <si>
    <t>Hyde Park Bank and Trust Company</t>
  </si>
  <si>
    <t>Illinois Housing Dev Authority</t>
  </si>
  <si>
    <t>International Bank of Chicago</t>
  </si>
  <si>
    <t>Labe Bank</t>
  </si>
  <si>
    <t>Lakeside Bank</t>
  </si>
  <si>
    <t>LaSalle Bank National Association</t>
  </si>
  <si>
    <t>Liberty Bank for Savings</t>
  </si>
  <si>
    <t>Limited Partner</t>
  </si>
  <si>
    <t>Lincoln Park Savings Bank</t>
  </si>
  <si>
    <t>Marquette Bank</t>
  </si>
  <si>
    <t>MB Financial Bank, NA</t>
  </si>
  <si>
    <t>NAB Bank</t>
  </si>
  <si>
    <t>New Century Bank</t>
  </si>
  <si>
    <t>North Community Bank</t>
  </si>
  <si>
    <t>North Federal Savings Bank</t>
  </si>
  <si>
    <t>Northern Trust Bank, F.S.B.</t>
  </si>
  <si>
    <t>Oak Bank</t>
  </si>
  <si>
    <t>Pacific Global Bank</t>
  </si>
  <si>
    <t>Pan American Bank</t>
  </si>
  <si>
    <t>Park Federal Savings Bank</t>
  </si>
  <si>
    <t>Prairie Mortgage</t>
  </si>
  <si>
    <t>PrivateBank and Trust Company</t>
  </si>
  <si>
    <t>Pulaski Savings Bank</t>
  </si>
  <si>
    <t>Pullman Bank and Trust</t>
  </si>
  <si>
    <t>Royal Savings Bank</t>
  </si>
  <si>
    <t>Seaway National Bank of Chicago</t>
  </si>
  <si>
    <t>Selfreliance Ukranian FCU</t>
  </si>
  <si>
    <t>ShoreBank</t>
  </si>
  <si>
    <t>South Central Bank and Trust Company of Chicago</t>
  </si>
  <si>
    <t>Washington Federal Bank For Savings</t>
  </si>
  <si>
    <t>105th/Vincennes</t>
  </si>
  <si>
    <t>107th/Halsted</t>
  </si>
  <si>
    <t>111th/Kedzie</t>
  </si>
  <si>
    <t>116th/Avenue O</t>
  </si>
  <si>
    <t>119th/Halsted</t>
  </si>
  <si>
    <t>119th/I-57</t>
  </si>
  <si>
    <t>24th/Michigan</t>
  </si>
  <si>
    <t>26th/King Drive</t>
  </si>
  <si>
    <t>35th/Halsted</t>
  </si>
  <si>
    <t>35th/State</t>
  </si>
  <si>
    <t>35th/Wallace</t>
  </si>
  <si>
    <t>43rd/Cottage Grove (DOH)</t>
  </si>
  <si>
    <t>47th/Ashland</t>
  </si>
  <si>
    <t>47th/Halsted</t>
  </si>
  <si>
    <t>47th/King Drive</t>
  </si>
  <si>
    <t>47th/State</t>
  </si>
  <si>
    <t>49th/St. Lawrence</t>
  </si>
  <si>
    <t>51st/Archer</t>
  </si>
  <si>
    <t>51st/Lake Park</t>
  </si>
  <si>
    <t>53rd Street</t>
  </si>
  <si>
    <t>60th/Western</t>
  </si>
  <si>
    <t>63rd/Ashland</t>
  </si>
  <si>
    <t>63rd/Pulaski</t>
  </si>
  <si>
    <t>67th/Cicero</t>
  </si>
  <si>
    <t>67th/Wentworth</t>
  </si>
  <si>
    <t>71st/Stony Island</t>
  </si>
  <si>
    <t>73rd/University</t>
  </si>
  <si>
    <t>79th Street Corridor</t>
  </si>
  <si>
    <t>79th Street/Southwest Highway</t>
  </si>
  <si>
    <t>79th/Cicero</t>
  </si>
  <si>
    <t>79th/Vincennes</t>
  </si>
  <si>
    <t>83rd/Stewart</t>
  </si>
  <si>
    <t>87th/Cottage Grove</t>
  </si>
  <si>
    <t>95th/Western</t>
  </si>
  <si>
    <t>Addison South</t>
  </si>
  <si>
    <t>Archer Courts</t>
  </si>
  <si>
    <t>Archer/Central</t>
  </si>
  <si>
    <t>Archer/Western</t>
  </si>
  <si>
    <t>Armitage/Pulaski</t>
  </si>
  <si>
    <t>Austin Commercial</t>
  </si>
  <si>
    <t>Avalon Park/South Shore</t>
  </si>
  <si>
    <t>Belmont/Central</t>
  </si>
  <si>
    <t>Belmont/Cicero</t>
  </si>
  <si>
    <t>Bronzeville</t>
  </si>
  <si>
    <t>Bryn Mawr/Broadway</t>
  </si>
  <si>
    <t>Canal/Congress</t>
  </si>
  <si>
    <t>Central West</t>
  </si>
  <si>
    <t>Chicago/Central Park</t>
  </si>
  <si>
    <t>Chicago/Kingsbury</t>
  </si>
  <si>
    <t>Cicero/Archer</t>
  </si>
  <si>
    <t>Clark/Montrose</t>
  </si>
  <si>
    <t>Clark/Ridge</t>
  </si>
  <si>
    <t>Commercial Avenue</t>
  </si>
  <si>
    <t>Cortland and Chicago River</t>
  </si>
  <si>
    <t>Devon/Sheridan</t>
  </si>
  <si>
    <t>Devon/Western</t>
  </si>
  <si>
    <t>Diversey/Chicago River (Lathrop Homes)</t>
  </si>
  <si>
    <t>Diversey/Narragansett</t>
  </si>
  <si>
    <t>Division/Homan</t>
  </si>
  <si>
    <t>Edgewater/Ashland</t>
  </si>
  <si>
    <t>Elston/Armstong</t>
  </si>
  <si>
    <t>Englewood Mall</t>
  </si>
  <si>
    <t>Englewood Neighborhood</t>
  </si>
  <si>
    <t>Ewing Avenue</t>
  </si>
  <si>
    <t>Foster/California</t>
  </si>
  <si>
    <t xml:space="preserve">Foster/Edens </t>
  </si>
  <si>
    <t>Fullerton/Milwaukee</t>
  </si>
  <si>
    <t>Galewood/Armitage Industrial</t>
  </si>
  <si>
    <t>Goose Island</t>
  </si>
  <si>
    <t>Greater Southwest Industral (East)</t>
  </si>
  <si>
    <t>Greater Southwest Industral (West)</t>
  </si>
  <si>
    <t>Harlem Industrial Park</t>
  </si>
  <si>
    <t>Harrison/Central</t>
  </si>
  <si>
    <t>Hollywood/Sheridan</t>
  </si>
  <si>
    <t>Homan/Arthington (DOH)</t>
  </si>
  <si>
    <t>Humboldt Park Commercial</t>
  </si>
  <si>
    <t>Irving Park/Elston</t>
  </si>
  <si>
    <t>Irving/Cicero</t>
  </si>
  <si>
    <t>Jefferson/Roosevelt</t>
  </si>
  <si>
    <t>Kennedy/Kimball</t>
  </si>
  <si>
    <t>Kinzie Industrial Corridor</t>
  </si>
  <si>
    <t>Lake Calumet Area Industrial</t>
  </si>
  <si>
    <t>Lakefront</t>
  </si>
  <si>
    <t>LaSalle Central</t>
  </si>
  <si>
    <t>Lawrence/Broadway</t>
  </si>
  <si>
    <t>Lawrence/Kedzie</t>
  </si>
  <si>
    <t>Lawrence/Pulaski</t>
  </si>
  <si>
    <t>Lincoln Avenue</t>
  </si>
  <si>
    <t>Little Village</t>
  </si>
  <si>
    <t>Little Village East</t>
  </si>
  <si>
    <t>Madden/Wells</t>
  </si>
  <si>
    <t>Madison/Austin Corridor</t>
  </si>
  <si>
    <t>Michigan/Cermak</t>
  </si>
  <si>
    <t>Midway Industrial Corridor</t>
  </si>
  <si>
    <t>Midwest</t>
  </si>
  <si>
    <t>Montrose/Clarendon</t>
  </si>
  <si>
    <t>Near North</t>
  </si>
  <si>
    <t>North Branch North</t>
  </si>
  <si>
    <t>North Branch South</t>
  </si>
  <si>
    <t>North Pullman</t>
  </si>
  <si>
    <t>North/Cicero</t>
  </si>
  <si>
    <t>Northwest Industrial Corridor</t>
  </si>
  <si>
    <t>Ogden/Pulaski</t>
  </si>
  <si>
    <t>Ohio/Wabash</t>
  </si>
  <si>
    <t>Pershing/King</t>
  </si>
  <si>
    <t>Peterson/Cicero</t>
  </si>
  <si>
    <t>Peterson/Pulaski</t>
  </si>
  <si>
    <t>Pilsen Industrial Corridor</t>
  </si>
  <si>
    <t>Pratt/Ridge</t>
  </si>
  <si>
    <t>Pulaski Industrial Corridor</t>
  </si>
  <si>
    <t>Randolph/Wells</t>
  </si>
  <si>
    <t>River South</t>
  </si>
  <si>
    <t>River West</t>
  </si>
  <si>
    <t>Roosevelt/Cicero Industrial Corridor</t>
  </si>
  <si>
    <t>Roosevelt/Clark</t>
  </si>
  <si>
    <t>Roosevelt/Racine (DOH)</t>
  </si>
  <si>
    <t>Roosevelt/Union</t>
  </si>
  <si>
    <t>RPM Phase One Project (Transit TIF)</t>
  </si>
  <si>
    <t>Roseland/Michigan</t>
  </si>
  <si>
    <t>Sanitary &amp; Ship Canal</t>
  </si>
  <si>
    <t>South Works Industrial</t>
  </si>
  <si>
    <t>Stevenson Brighton</t>
  </si>
  <si>
    <t>Stockyards Annex</t>
  </si>
  <si>
    <t>Stockyards SEQ</t>
  </si>
  <si>
    <t>Stony Island Com/Burnside Ind.</t>
  </si>
  <si>
    <t>Touhy/Western</t>
  </si>
  <si>
    <t>West Irving Park</t>
  </si>
  <si>
    <t>West Woodlawn</t>
  </si>
  <si>
    <t>Western Avenue North</t>
  </si>
  <si>
    <t>Western Avenue South</t>
  </si>
  <si>
    <t>Western/Ogden</t>
  </si>
  <si>
    <t>Western/Rock Island</t>
  </si>
  <si>
    <t>Wilson Yard</t>
  </si>
  <si>
    <t>Return to Selection of Method &amp; Project Information Page</t>
  </si>
  <si>
    <r>
      <t xml:space="preserve">See instructions in several columns to the right </t>
    </r>
    <r>
      <rPr>
        <b/>
        <i/>
        <sz val="14"/>
        <color rgb="FFFF0000"/>
        <rFont val="Times New Roman"/>
        <family val="1"/>
      </rPr>
      <t>→</t>
    </r>
  </si>
  <si>
    <t>Standard Method, Cost Allocation Worksheet</t>
  </si>
  <si>
    <t>Project Address:</t>
  </si>
  <si>
    <t>Date of Review:</t>
  </si>
  <si>
    <t>Step 1: Determine Comparability, Select Method of Cost Allocation</t>
  </si>
  <si>
    <t>Gross Residential Sq. Ft.</t>
  </si>
  <si>
    <t>Step 2: Proposed HOME Investment</t>
  </si>
  <si>
    <t>Proposed Home Investment</t>
  </si>
  <si>
    <t>Step 3: Calculate Actual Cost of HOME Units</t>
  </si>
  <si>
    <t>Total Development Cost</t>
  </si>
  <si>
    <t>Ineligible Development Costs</t>
  </si>
  <si>
    <t>Unit-Specific Upgrades</t>
  </si>
  <si>
    <t>Relocation Costs</t>
  </si>
  <si>
    <t>Assign Relocation Exclusively to HOME Units?</t>
  </si>
  <si>
    <t>Base Project Cost</t>
  </si>
  <si>
    <t>Base Cost/Sq. Ft.</t>
  </si>
  <si>
    <t>Assign Units - Each HOME unit gets its own line below</t>
  </si>
  <si>
    <t>Unit #</t>
  </si>
  <si>
    <t>Description/Notes</t>
  </si>
  <si>
    <t>No. of BRs</t>
  </si>
  <si>
    <t>Sq. Ft.</t>
  </si>
  <si>
    <t>Ind. Unit Cost</t>
  </si>
  <si>
    <r>
      <rPr>
        <i/>
        <sz val="11"/>
        <color theme="4" tint="-0.499984740745262"/>
        <rFont val="Wingdings"/>
        <charset val="2"/>
      </rPr>
      <t>ã</t>
    </r>
    <r>
      <rPr>
        <i/>
        <sz val="11"/>
        <color theme="4" tint="-0.499984740745262"/>
        <rFont val="Calibri"/>
        <family val="2"/>
        <scheme val="minor"/>
      </rPr>
      <t>Right click and unhide lines 20-29 to open additional rows as needed.</t>
    </r>
  </si>
  <si>
    <t>Subtotal of HOME Unit Costs</t>
  </si>
  <si>
    <t>Relocation costs allocated exclusively to HOME Units (if applicable)</t>
  </si>
  <si>
    <t>Actual Cost of HOME Units</t>
  </si>
  <si>
    <t>Step 4: Calculate Maximum Project Subsidy</t>
  </si>
  <si>
    <t>Unit Size</t>
  </si>
  <si>
    <t>Max. Subsidy/Unit</t>
  </si>
  <si>
    <t>Maximum Subsidy by Unit Size</t>
  </si>
  <si>
    <t>0 Bedroom/Efficiency</t>
  </si>
  <si>
    <t>1 Bedroom</t>
  </si>
  <si>
    <t>2 Bedroom</t>
  </si>
  <si>
    <t>3 Bedroom</t>
  </si>
  <si>
    <t>4 Bedroom</t>
  </si>
  <si>
    <t>Maximum Project Subsidy</t>
  </si>
  <si>
    <t>Step 5: Maximum HOME Investment, lesser of</t>
  </si>
  <si>
    <t>Proposed Investment (Gap) (from Step 2)</t>
  </si>
  <si>
    <t>Actual Cost of HOME Units (from Step 3)</t>
  </si>
  <si>
    <t>Maximum Project Subsidy (from Step 4)</t>
  </si>
  <si>
    <t>Maximum HOME Investment</t>
  </si>
  <si>
    <t>STUDIO</t>
  </si>
  <si>
    <t>1 BDRM</t>
  </si>
  <si>
    <t>2 BDRM</t>
  </si>
  <si>
    <t>3 BDRM</t>
  </si>
  <si>
    <t>4 BDRM</t>
  </si>
  <si>
    <t>DOH Proforma Version 12 - 2/7/2022</t>
  </si>
  <si>
    <t>Proration Method, Cost Allocation Worksheet</t>
  </si>
  <si>
    <t>Proposed HOME Investment, Determine HOME Units Needed</t>
  </si>
  <si>
    <t>Proposed HOME Investment</t>
  </si>
  <si>
    <t>HOME Share Ratio - Based on Cost</t>
  </si>
  <si>
    <t>Assign Units</t>
  </si>
  <si>
    <t>Unit Type Description/Notes</t>
  </si>
  <si>
    <t>Min. HOME Units</t>
  </si>
  <si>
    <t>Rounded HOME Units</t>
  </si>
  <si>
    <t>Avg. Sq. Ft.</t>
  </si>
  <si>
    <t>Subtotal HOME Unit Costs</t>
  </si>
  <si>
    <t># of HOME Units</t>
  </si>
  <si>
    <t>To be Hidden Later, Counts Units by Bedroom Size</t>
  </si>
  <si>
    <t>Eff/0</t>
  </si>
  <si>
    <t>1bed</t>
  </si>
  <si>
    <t>2bed</t>
  </si>
  <si>
    <t>3bed</t>
  </si>
  <si>
    <t>4bed</t>
  </si>
  <si>
    <t>Bedroom Size</t>
  </si>
  <si>
    <t>Subtotal of X-Bed HOME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</si>
</sst>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6" formatCode="&quot;$&quot;#,##0_);[Red]\(&quot;$&quot;#,##0\)"/>
    <numFmt numFmtId="8" formatCode="&quot;$&quot;#,##0.00_);[Red]\(&quot;$&quot;#,##0.00\)"/>
    <numFmt numFmtId="44" formatCode="_(&quot;$&quot;* #,##0.00_);_(&quot;$&quot;* \(#,##0.00\);_(&quot;$&quot;* &quot;-&quot;??_);_(@_)"/>
    <numFmt numFmtId="43" formatCode="_(* #,##0.00_);_(* \(#,##0.00\);_(* &quot;-&quot;??_);_(@_)"/>
    <numFmt numFmtId="164" formatCode="0.0000%"/>
    <numFmt numFmtId="165" formatCode="_(* #,##0_);_(* \(#,##0\);_(* &quot;-&quot;??_);_(@_)"/>
    <numFmt numFmtId="166" formatCode="00000"/>
    <numFmt numFmtId="167" formatCode="0.00000"/>
    <numFmt numFmtId="168" formatCode="[&lt;=9999999]###\-####;\(###\)\ ###\-####"/>
    <numFmt numFmtId="169" formatCode="mm/dd/yy;@"/>
    <numFmt numFmtId="170" formatCode="0_);\(0\)"/>
    <numFmt numFmtId="171" formatCode="0.000%"/>
    <numFmt numFmtId="172" formatCode="[$-409]mmm\-yy;@"/>
    <numFmt numFmtId="173" formatCode="_(* #,##0_);_(* \(#,##0\);_(* &quot;-&quot;?_);_(@_)"/>
    <numFmt numFmtId="174" formatCode="[$-409]mmmmm;@"/>
    <numFmt numFmtId="175" formatCode="_(&quot;$&quot;* #,##0.0000_);_(&quot;$&quot;* \(#,##0.0000\);_(&quot;$&quot;* &quot;-&quot;??_);_(@_)"/>
    <numFmt numFmtId="176" formatCode="_(* #,##0.0000_);_(* \(#,##0.0000\);_(* &quot;-&quot;??_);_(@_)"/>
    <numFmt numFmtId="177" formatCode="0.0000"/>
    <numFmt numFmtId="178" formatCode="0.0%"/>
    <numFmt numFmtId="179" formatCode="_(* #,##0.00000_);_(* \(#,##0.00000\);_(* &quot;-&quot;??_);_(@_)"/>
    <numFmt numFmtId="180" formatCode="0.0"/>
    <numFmt numFmtId="181" formatCode="_([$$-409]* #,##0.00_);_([$$-409]* \(#,##0.00\);_([$$-409]* &quot;-&quot;??_);_(@_)"/>
    <numFmt numFmtId="182" formatCode="&quot;$&quot;#,##0"/>
    <numFmt numFmtId="183" formatCode="_(&quot;$&quot;* #,##0_);_(&quot;$&quot;* \(#,##0\);_(&quot;$&quot;* &quot;-&quot;??_);_(@_)"/>
    <numFmt numFmtId="184" formatCode="&quot;$&quot;#,##0.000"/>
    <numFmt numFmtId="185" formatCode="0;\-0;&quot;-&quot;"/>
    <numFmt numFmtId="186" formatCode="0.000;\-0.000;&quot;-&quot;"/>
  </numFmts>
  <fonts count="10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9"/>
      <color indexed="56"/>
      <name val="Arial"/>
      <family val="2"/>
    </font>
    <font>
      <sz val="9"/>
      <name val="Arial"/>
      <family val="2"/>
    </font>
    <font>
      <b/>
      <sz val="9"/>
      <color indexed="10"/>
      <name val="Arial"/>
      <family val="2"/>
    </font>
    <font>
      <b/>
      <sz val="9"/>
      <color indexed="18"/>
      <name val="Arial"/>
      <family val="2"/>
    </font>
    <font>
      <sz val="9"/>
      <color indexed="18"/>
      <name val="Arial"/>
      <family val="2"/>
    </font>
    <font>
      <b/>
      <sz val="9"/>
      <name val="Arial"/>
      <family val="2"/>
    </font>
    <font>
      <sz val="9"/>
      <color indexed="56"/>
      <name val="Arial"/>
      <family val="2"/>
    </font>
    <font>
      <sz val="9"/>
      <color indexed="58"/>
      <name val="Arial"/>
      <family val="2"/>
    </font>
    <font>
      <b/>
      <sz val="9"/>
      <color indexed="58"/>
      <name val="Arial"/>
      <family val="2"/>
    </font>
    <font>
      <b/>
      <u/>
      <sz val="9"/>
      <name val="Arial"/>
      <family val="2"/>
    </font>
    <font>
      <b/>
      <sz val="8"/>
      <color indexed="81"/>
      <name val="Tahoma"/>
      <family val="2"/>
    </font>
    <font>
      <sz val="9"/>
      <name val="Arial"/>
      <family val="2"/>
    </font>
    <font>
      <b/>
      <sz val="9"/>
      <color indexed="54"/>
      <name val="Arial"/>
      <family val="2"/>
    </font>
    <font>
      <b/>
      <sz val="9"/>
      <name val="Arial"/>
      <family val="2"/>
    </font>
    <font>
      <b/>
      <sz val="10"/>
      <color indexed="12"/>
      <name val="Arial"/>
      <family val="2"/>
    </font>
    <font>
      <b/>
      <sz val="10"/>
      <name val="Arial"/>
      <family val="2"/>
    </font>
    <font>
      <sz val="10"/>
      <color indexed="12"/>
      <name val="Arial"/>
      <family val="2"/>
    </font>
    <font>
      <sz val="10"/>
      <color indexed="12"/>
      <name val="Arial"/>
      <family val="2"/>
    </font>
    <font>
      <b/>
      <sz val="10"/>
      <color indexed="60"/>
      <name val="Arial"/>
      <family val="2"/>
    </font>
    <font>
      <sz val="10"/>
      <color indexed="60"/>
      <name val="Arial"/>
      <family val="2"/>
    </font>
    <font>
      <sz val="10"/>
      <color indexed="58"/>
      <name val="Arial"/>
      <family val="2"/>
    </font>
    <font>
      <b/>
      <sz val="10"/>
      <color indexed="58"/>
      <name val="Arial"/>
      <family val="2"/>
    </font>
    <font>
      <sz val="10"/>
      <color indexed="18"/>
      <name val="Arial"/>
      <family val="2"/>
    </font>
    <font>
      <b/>
      <sz val="10"/>
      <color indexed="18"/>
      <name val="Arial"/>
      <family val="2"/>
    </font>
    <font>
      <b/>
      <sz val="10"/>
      <color indexed="60"/>
      <name val="Arial"/>
      <family val="2"/>
    </font>
    <font>
      <b/>
      <sz val="10"/>
      <name val="Arial"/>
      <family val="2"/>
    </font>
    <font>
      <b/>
      <u/>
      <sz val="10"/>
      <color indexed="58"/>
      <name val="Arial"/>
      <family val="2"/>
    </font>
    <font>
      <sz val="10"/>
      <color indexed="58"/>
      <name val="Arial"/>
      <family val="2"/>
    </font>
    <font>
      <b/>
      <u val="singleAccounting"/>
      <sz val="10"/>
      <color indexed="58"/>
      <name val="Arial"/>
      <family val="2"/>
    </font>
    <font>
      <sz val="10"/>
      <name val="Arial"/>
      <family val="2"/>
    </font>
    <font>
      <sz val="11"/>
      <name val="Arial"/>
      <family val="2"/>
    </font>
    <font>
      <b/>
      <sz val="11"/>
      <name val="Arial"/>
      <family val="2"/>
    </font>
    <font>
      <b/>
      <sz val="11"/>
      <color indexed="18"/>
      <name val="Arial"/>
      <family val="2"/>
    </font>
    <font>
      <b/>
      <sz val="11"/>
      <color indexed="60"/>
      <name val="Arial"/>
      <family val="2"/>
    </font>
    <font>
      <b/>
      <sz val="11"/>
      <color indexed="58"/>
      <name val="Arial"/>
      <family val="2"/>
    </font>
    <font>
      <b/>
      <sz val="11"/>
      <color indexed="12"/>
      <name val="Arial"/>
      <family val="2"/>
    </font>
    <font>
      <b/>
      <sz val="10"/>
      <color indexed="18"/>
      <name val="Arial"/>
      <family val="2"/>
    </font>
    <font>
      <i/>
      <sz val="10"/>
      <name val="Arial"/>
      <family val="2"/>
    </font>
    <font>
      <b/>
      <i/>
      <sz val="10"/>
      <color indexed="18"/>
      <name val="Arial"/>
      <family val="2"/>
    </font>
    <font>
      <b/>
      <i/>
      <sz val="10"/>
      <color indexed="60"/>
      <name val="Arial"/>
      <family val="2"/>
    </font>
    <font>
      <b/>
      <i/>
      <sz val="10"/>
      <color indexed="58"/>
      <name val="Arial"/>
      <family val="2"/>
    </font>
    <font>
      <b/>
      <i/>
      <sz val="10"/>
      <name val="Arial"/>
      <family val="2"/>
    </font>
    <font>
      <b/>
      <i/>
      <sz val="10"/>
      <color indexed="12"/>
      <name val="Arial"/>
      <family val="2"/>
    </font>
    <font>
      <i/>
      <sz val="10"/>
      <color indexed="12"/>
      <name val="Arial"/>
      <family val="2"/>
    </font>
    <font>
      <i/>
      <sz val="10"/>
      <color indexed="60"/>
      <name val="Arial"/>
      <family val="2"/>
    </font>
    <font>
      <i/>
      <sz val="10"/>
      <color indexed="58"/>
      <name val="Arial"/>
      <family val="2"/>
    </font>
    <font>
      <i/>
      <sz val="10"/>
      <color indexed="18"/>
      <name val="Arial"/>
      <family val="2"/>
    </font>
    <font>
      <sz val="8"/>
      <color indexed="81"/>
      <name val="Tahoma"/>
      <family val="2"/>
    </font>
    <font>
      <sz val="8"/>
      <name val="Arial"/>
      <family val="2"/>
    </font>
    <font>
      <u/>
      <sz val="10"/>
      <color indexed="58"/>
      <name val="Arial"/>
      <family val="2"/>
    </font>
    <font>
      <b/>
      <sz val="10"/>
      <color indexed="56"/>
      <name val="Arial"/>
      <family val="2"/>
    </font>
    <font>
      <b/>
      <u val="singleAccounting"/>
      <sz val="9"/>
      <color indexed="58"/>
      <name val="Arial"/>
      <family val="2"/>
    </font>
    <font>
      <i/>
      <sz val="9"/>
      <name val="Arial"/>
      <family val="2"/>
    </font>
    <font>
      <b/>
      <i/>
      <sz val="9"/>
      <name val="Arial"/>
      <family val="2"/>
    </font>
    <font>
      <b/>
      <u/>
      <sz val="9"/>
      <color indexed="12"/>
      <name val="Arial"/>
      <family val="2"/>
    </font>
    <font>
      <b/>
      <sz val="9"/>
      <color indexed="59"/>
      <name val="Arial"/>
      <family val="2"/>
    </font>
    <font>
      <b/>
      <u/>
      <sz val="10"/>
      <name val="Arial"/>
      <family val="2"/>
    </font>
    <font>
      <u/>
      <sz val="10"/>
      <color indexed="12"/>
      <name val="Arial"/>
      <family val="2"/>
    </font>
    <font>
      <sz val="10"/>
      <color indexed="8"/>
      <name val="Arial"/>
      <family val="2"/>
    </font>
    <font>
      <sz val="10"/>
      <color indexed="8"/>
      <name val="Verdana"/>
      <family val="2"/>
    </font>
    <font>
      <u/>
      <sz val="10"/>
      <name val="Arial"/>
      <family val="2"/>
    </font>
    <font>
      <b/>
      <sz val="12"/>
      <color indexed="56"/>
      <name val="Arial"/>
      <family val="2"/>
    </font>
    <font>
      <b/>
      <u/>
      <sz val="10"/>
      <color indexed="12"/>
      <name val="Arial"/>
      <family val="2"/>
    </font>
    <font>
      <b/>
      <sz val="10"/>
      <color indexed="59"/>
      <name val="Arial"/>
      <family val="2"/>
    </font>
    <font>
      <u/>
      <sz val="9"/>
      <color indexed="18"/>
      <name val="Arial"/>
      <family val="2"/>
    </font>
    <font>
      <sz val="10"/>
      <name val="Futura Bk BT"/>
    </font>
    <font>
      <b/>
      <sz val="10"/>
      <name val="Times New Roman"/>
      <family val="1"/>
    </font>
    <font>
      <sz val="10"/>
      <name val="Times New Roman"/>
      <family val="1"/>
    </font>
    <font>
      <b/>
      <sz val="10"/>
      <color indexed="12"/>
      <name val="Times New Roman"/>
      <family val="1"/>
    </font>
    <font>
      <sz val="10"/>
      <color indexed="12"/>
      <name val="Times New Roman"/>
      <family val="1"/>
    </font>
    <font>
      <b/>
      <sz val="11"/>
      <name val="Times New Roman"/>
      <family val="1"/>
    </font>
    <font>
      <b/>
      <sz val="9"/>
      <name val="Times New Roman"/>
      <family val="1"/>
    </font>
    <font>
      <b/>
      <sz val="8"/>
      <name val="Arial"/>
      <family val="2"/>
    </font>
    <font>
      <b/>
      <i/>
      <sz val="8"/>
      <name val="Arial"/>
      <family val="2"/>
    </font>
    <font>
      <b/>
      <sz val="11"/>
      <color theme="1"/>
      <name val="Calibri"/>
      <family val="2"/>
      <scheme val="minor"/>
    </font>
    <font>
      <b/>
      <u/>
      <sz val="11"/>
      <color theme="1"/>
      <name val="Calibri"/>
      <family val="2"/>
      <scheme val="minor"/>
    </font>
    <font>
      <b/>
      <i/>
      <sz val="10"/>
      <color theme="1"/>
      <name val="Calibri"/>
      <family val="2"/>
      <scheme val="minor"/>
    </font>
    <font>
      <b/>
      <i/>
      <sz val="11"/>
      <color theme="1"/>
      <name val="Calibri"/>
      <family val="2"/>
      <scheme val="minor"/>
    </font>
    <font>
      <u/>
      <sz val="11"/>
      <color theme="1"/>
      <name val="Calibri"/>
      <family val="2"/>
      <scheme val="minor"/>
    </font>
    <font>
      <sz val="11"/>
      <name val="Calibri"/>
      <family val="2"/>
      <scheme val="minor"/>
    </font>
    <font>
      <u/>
      <sz val="11"/>
      <color rgb="FF000000"/>
      <name val="Calibri"/>
      <family val="2"/>
    </font>
    <font>
      <sz val="11"/>
      <color rgb="FF000000"/>
      <name val="Calibri"/>
      <family val="2"/>
    </font>
    <font>
      <b/>
      <sz val="11"/>
      <color rgb="FF000000"/>
      <name val="Calibri"/>
      <family val="2"/>
    </font>
    <font>
      <b/>
      <i/>
      <u/>
      <sz val="11"/>
      <color rgb="FF000000"/>
      <name val="Calibri"/>
      <family val="2"/>
    </font>
    <font>
      <i/>
      <sz val="11"/>
      <color rgb="FF000000"/>
      <name val="Calibri"/>
      <family val="2"/>
    </font>
    <font>
      <sz val="11"/>
      <name val="Calibri"/>
      <family val="2"/>
    </font>
    <font>
      <u/>
      <sz val="11"/>
      <color theme="10"/>
      <name val="Calibri"/>
      <family val="2"/>
      <scheme val="minor"/>
    </font>
    <font>
      <b/>
      <i/>
      <sz val="14"/>
      <color rgb="FFFF0000"/>
      <name val="Calibri"/>
      <family val="2"/>
      <scheme val="minor"/>
    </font>
    <font>
      <b/>
      <i/>
      <sz val="14"/>
      <color rgb="FFFF0000"/>
      <name val="Times New Roman"/>
      <family val="1"/>
    </font>
    <font>
      <b/>
      <sz val="14"/>
      <color theme="1"/>
      <name val="Calibri"/>
      <family val="2"/>
      <scheme val="minor"/>
    </font>
    <font>
      <b/>
      <i/>
      <sz val="11"/>
      <color rgb="FFFF0000"/>
      <name val="Calibri"/>
      <family val="2"/>
      <scheme val="minor"/>
    </font>
    <font>
      <i/>
      <sz val="11"/>
      <color theme="4" tint="-0.499984740745262"/>
      <name val="Calibri"/>
      <family val="2"/>
      <charset val="2"/>
      <scheme val="minor"/>
    </font>
    <font>
      <i/>
      <sz val="11"/>
      <color theme="4" tint="-0.499984740745262"/>
      <name val="Wingdings"/>
      <charset val="2"/>
    </font>
    <font>
      <i/>
      <sz val="11"/>
      <color theme="4" tint="-0.499984740745262"/>
      <name val="Calibri"/>
      <family val="2"/>
      <scheme val="minor"/>
    </font>
    <font>
      <sz val="11"/>
      <color theme="4" tint="-0.499984740745262"/>
      <name val="Calibri"/>
      <family val="2"/>
      <scheme val="minor"/>
    </font>
    <font>
      <sz val="11"/>
      <color rgb="FFFF0000"/>
      <name val="Calibri"/>
      <family val="2"/>
      <scheme val="minor"/>
    </font>
  </fonts>
  <fills count="1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22"/>
        <bgColor indexed="0"/>
      </patternFill>
    </fill>
    <fill>
      <patternFill patternType="solid">
        <fgColor indexed="9"/>
        <bgColor indexed="64"/>
      </patternFill>
    </fill>
    <fill>
      <patternFill patternType="solid">
        <fgColor indexed="43"/>
        <bgColor indexed="9"/>
      </patternFill>
    </fill>
    <fill>
      <patternFill patternType="solid">
        <fgColor theme="4" tint="0.59999389629810485"/>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medium">
        <color indexed="64"/>
      </bottom>
      <diagonal/>
    </border>
    <border>
      <left style="thin">
        <color indexed="64"/>
      </left>
      <right/>
      <top/>
      <bottom style="double">
        <color indexed="64"/>
      </bottom>
      <diagonal/>
    </border>
    <border>
      <left/>
      <right/>
      <top style="medium">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double">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s>
  <cellStyleXfs count="18">
    <xf numFmtId="0" fontId="0" fillId="0" borderId="0"/>
    <xf numFmtId="0" fontId="20" fillId="0" borderId="0" applyNumberFormat="0" applyFill="0" applyBorder="0" applyAlignment="0" applyProtection="0"/>
    <xf numFmtId="0" fontId="20" fillId="0" borderId="0" applyNumberForma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62" fillId="0" borderId="0" applyNumberFormat="0" applyFill="0" applyBorder="0" applyAlignment="0" applyProtection="0">
      <alignment vertical="top"/>
      <protection locked="0"/>
    </xf>
    <xf numFmtId="0" fontId="63" fillId="0" borderId="0"/>
    <xf numFmtId="9" fontId="4" fillId="0" borderId="0" applyFont="0" applyFill="0" applyBorder="0" applyAlignment="0" applyProtection="0"/>
    <xf numFmtId="0" fontId="70" fillId="0" borderId="0"/>
    <xf numFmtId="44" fontId="70" fillId="0" borderId="0" applyFont="0" applyFill="0" applyBorder="0" applyAlignment="0" applyProtection="0"/>
    <xf numFmtId="9" fontId="70" fillId="0" borderId="0" applyFont="0" applyFill="0" applyBorder="0" applyAlignment="0" applyProtection="0"/>
    <xf numFmtId="0" fontId="4" fillId="0" borderId="0"/>
    <xf numFmtId="0" fontId="91"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2138">
    <xf numFmtId="0" fontId="0" fillId="0" borderId="0" xfId="0"/>
    <xf numFmtId="0" fontId="72" fillId="0" borderId="0" xfId="8" applyFont="1" applyBorder="1" applyAlignment="1">
      <alignment horizontal="center" wrapText="1"/>
    </xf>
    <xf numFmtId="2" fontId="53" fillId="0" borderId="33" xfId="11" quotePrefix="1" applyNumberFormat="1" applyFont="1" applyBorder="1" applyAlignment="1">
      <alignment horizontal="center"/>
    </xf>
    <xf numFmtId="0" fontId="8" fillId="0" borderId="0" xfId="0" applyFont="1" applyFill="1" applyAlignment="1" applyProtection="1">
      <alignment horizontal="center"/>
    </xf>
    <xf numFmtId="0" fontId="11" fillId="0" borderId="0" xfId="0" applyFont="1" applyFill="1" applyBorder="1" applyAlignment="1" applyProtection="1">
      <alignment horizontal="right"/>
      <protection locked="0"/>
    </xf>
    <xf numFmtId="164" fontId="11" fillId="2" borderId="3" xfId="7" applyNumberFormat="1" applyFont="1" applyFill="1" applyBorder="1" applyAlignment="1" applyProtection="1">
      <alignment horizontal="right"/>
      <protection locked="0"/>
    </xf>
    <xf numFmtId="0" fontId="5" fillId="2" borderId="3" xfId="0" applyFont="1" applyFill="1" applyBorder="1" applyAlignment="1" applyProtection="1">
      <alignment horizontal="right"/>
      <protection locked="0"/>
    </xf>
    <xf numFmtId="0" fontId="9" fillId="2" borderId="3" xfId="0" applyFont="1" applyFill="1" applyBorder="1" applyAlignment="1" applyProtection="1">
      <alignment horizontal="center" shrinkToFit="1"/>
      <protection locked="0"/>
    </xf>
    <xf numFmtId="0" fontId="12" fillId="2" borderId="3" xfId="0" applyFont="1" applyFill="1" applyBorder="1" applyAlignment="1" applyProtection="1">
      <alignment horizontal="center" shrinkToFit="1"/>
      <protection locked="0"/>
    </xf>
    <xf numFmtId="10" fontId="11" fillId="2" borderId="4" xfId="7" applyNumberFormat="1" applyFont="1" applyFill="1" applyBorder="1" applyAlignment="1" applyProtection="1">
      <alignment horizontal="right"/>
      <protection locked="0"/>
    </xf>
    <xf numFmtId="0" fontId="6" fillId="0" borderId="0" xfId="0" applyFont="1" applyFill="1" applyAlignment="1" applyProtection="1">
      <alignment wrapText="1"/>
    </xf>
    <xf numFmtId="0" fontId="11" fillId="0" borderId="0" xfId="0" applyFont="1" applyFill="1" applyBorder="1" applyAlignment="1" applyProtection="1">
      <alignment horizontal="right"/>
    </xf>
    <xf numFmtId="0" fontId="8" fillId="0" borderId="0" xfId="0" applyFont="1" applyFill="1" applyBorder="1" applyAlignment="1" applyProtection="1">
      <alignment horizontal="center"/>
    </xf>
    <xf numFmtId="0" fontId="6" fillId="0" borderId="5" xfId="0" applyFont="1" applyFill="1" applyBorder="1" applyAlignment="1" applyProtection="1">
      <protection hidden="1"/>
    </xf>
    <xf numFmtId="0" fontId="6" fillId="0" borderId="0" xfId="0" applyFont="1" applyFill="1" applyBorder="1" applyAlignment="1" applyProtection="1">
      <protection hidden="1"/>
    </xf>
    <xf numFmtId="0" fontId="8" fillId="0" borderId="0" xfId="0" applyFont="1" applyFill="1" applyBorder="1" applyAlignment="1" applyProtection="1">
      <alignment horizontal="center"/>
      <protection locked="0"/>
    </xf>
    <xf numFmtId="0" fontId="11" fillId="2" borderId="3" xfId="0" applyFont="1" applyFill="1" applyBorder="1" applyAlignment="1" applyProtection="1">
      <alignment horizontal="right"/>
      <protection locked="0"/>
    </xf>
    <xf numFmtId="166" fontId="9" fillId="2" borderId="3" xfId="0" applyNumberFormat="1" applyFont="1" applyFill="1" applyBorder="1" applyAlignment="1" applyProtection="1">
      <alignment horizontal="center" shrinkToFit="1"/>
      <protection locked="0"/>
    </xf>
    <xf numFmtId="0" fontId="13" fillId="0" borderId="0" xfId="0" applyFont="1" applyFill="1" applyBorder="1" applyAlignment="1" applyProtection="1">
      <alignment horizontal="center"/>
      <protection locked="0"/>
    </xf>
    <xf numFmtId="0" fontId="11" fillId="0" borderId="6" xfId="0" applyFont="1" applyFill="1" applyBorder="1" applyAlignment="1" applyProtection="1">
      <alignment horizontal="right"/>
      <protection locked="0"/>
    </xf>
    <xf numFmtId="0" fontId="5" fillId="0" borderId="0" xfId="0" applyFont="1" applyFill="1" applyBorder="1" applyAlignment="1">
      <alignment horizontal="right"/>
    </xf>
    <xf numFmtId="0" fontId="6" fillId="0" borderId="0" xfId="0" applyFont="1" applyFill="1" applyBorder="1" applyProtection="1">
      <protection hidden="1"/>
    </xf>
    <xf numFmtId="0" fontId="6" fillId="2" borderId="0" xfId="0" applyFont="1" applyFill="1" applyBorder="1" applyProtection="1">
      <protection locked="0"/>
    </xf>
    <xf numFmtId="0" fontId="6" fillId="2" borderId="3" xfId="0" applyFont="1" applyFill="1" applyBorder="1" applyAlignment="1" applyProtection="1">
      <alignment horizontal="left"/>
      <protection locked="0"/>
    </xf>
    <xf numFmtId="10" fontId="5" fillId="0" borderId="0" xfId="7" applyNumberFormat="1" applyFont="1" applyFill="1" applyBorder="1" applyAlignment="1">
      <alignment horizontal="right" wrapText="1"/>
    </xf>
    <xf numFmtId="0" fontId="6" fillId="0" borderId="3" xfId="0" applyFont="1" applyFill="1" applyBorder="1" applyAlignment="1" applyProtection="1">
      <alignment horizontal="center"/>
      <protection hidden="1"/>
    </xf>
    <xf numFmtId="10" fontId="5" fillId="0" borderId="0" xfId="7" applyNumberFormat="1" applyFont="1" applyFill="1" applyBorder="1" applyAlignment="1">
      <alignment horizontal="right"/>
    </xf>
    <xf numFmtId="0" fontId="6" fillId="0" borderId="3" xfId="0" applyFont="1" applyFill="1" applyBorder="1" applyProtection="1">
      <protection hidden="1"/>
    </xf>
    <xf numFmtId="167" fontId="11" fillId="2" borderId="3" xfId="0" applyNumberFormat="1" applyFont="1" applyFill="1" applyBorder="1" applyAlignment="1" applyProtection="1">
      <alignment horizontal="right"/>
      <protection locked="0"/>
    </xf>
    <xf numFmtId="0" fontId="5" fillId="0" borderId="0" xfId="0" applyFont="1" applyFill="1" applyBorder="1" applyAlignment="1">
      <alignment horizontal="right" wrapText="1"/>
    </xf>
    <xf numFmtId="165" fontId="6" fillId="0" borderId="0" xfId="3" applyNumberFormat="1" applyFont="1" applyFill="1" applyBorder="1" applyAlignment="1" applyProtection="1">
      <alignment horizontal="left"/>
    </xf>
    <xf numFmtId="0" fontId="9" fillId="2" borderId="3" xfId="0" applyFont="1" applyFill="1" applyBorder="1" applyAlignment="1" applyProtection="1">
      <alignment horizontal="right"/>
      <protection locked="0"/>
    </xf>
    <xf numFmtId="0" fontId="10" fillId="0" borderId="0" xfId="0" applyFont="1" applyFill="1" applyBorder="1" applyAlignment="1" applyProtection="1">
      <alignment horizontal="center"/>
      <protection locked="0" hidden="1"/>
    </xf>
    <xf numFmtId="168" fontId="9" fillId="2" borderId="3" xfId="0" applyNumberFormat="1" applyFont="1" applyFill="1" applyBorder="1" applyAlignment="1" applyProtection="1">
      <alignment horizontal="center" shrinkToFit="1"/>
      <protection locked="0"/>
    </xf>
    <xf numFmtId="165" fontId="6" fillId="2" borderId="0" xfId="3" applyNumberFormat="1" applyFont="1" applyFill="1" applyBorder="1" applyProtection="1">
      <protection locked="0"/>
    </xf>
    <xf numFmtId="165" fontId="6" fillId="2" borderId="3" xfId="3" applyNumberFormat="1" applyFont="1" applyFill="1" applyBorder="1" applyProtection="1">
      <protection locked="0"/>
    </xf>
    <xf numFmtId="168" fontId="8" fillId="0" borderId="0" xfId="0" applyNumberFormat="1" applyFont="1" applyFill="1" applyBorder="1" applyAlignment="1" applyProtection="1">
      <alignment horizontal="center" shrinkToFit="1"/>
      <protection locked="0"/>
    </xf>
    <xf numFmtId="0" fontId="6" fillId="0" borderId="5" xfId="0" applyFont="1" applyFill="1" applyBorder="1" applyProtection="1">
      <protection locked="0"/>
    </xf>
    <xf numFmtId="0" fontId="9" fillId="2" borderId="7" xfId="0" applyFont="1" applyFill="1" applyBorder="1" applyAlignment="1" applyProtection="1">
      <alignment horizontal="center" shrinkToFit="1"/>
      <protection locked="0"/>
    </xf>
    <xf numFmtId="0" fontId="6" fillId="0" borderId="8" xfId="0" applyFont="1" applyFill="1" applyBorder="1" applyProtection="1">
      <protection locked="0"/>
    </xf>
    <xf numFmtId="165" fontId="6" fillId="2" borderId="9" xfId="3" applyNumberFormat="1" applyFont="1" applyFill="1" applyBorder="1" applyProtection="1">
      <protection locked="0"/>
    </xf>
    <xf numFmtId="165" fontId="6" fillId="2" borderId="10" xfId="3" applyNumberFormat="1" applyFont="1" applyFill="1" applyBorder="1" applyProtection="1">
      <protection locked="0"/>
    </xf>
    <xf numFmtId="0" fontId="6" fillId="0" borderId="0" xfId="0" applyFont="1" applyFill="1" applyBorder="1" applyAlignment="1" applyProtection="1">
      <alignment horizontal="right"/>
    </xf>
    <xf numFmtId="0" fontId="10" fillId="0" borderId="0" xfId="0" applyFont="1" applyFill="1" applyBorder="1" applyProtection="1"/>
    <xf numFmtId="0" fontId="8" fillId="0" borderId="0" xfId="0" applyFont="1" applyFill="1" applyBorder="1" applyAlignment="1" applyProtection="1">
      <alignment horizontal="right"/>
      <protection locked="0"/>
    </xf>
    <xf numFmtId="165" fontId="9" fillId="2" borderId="3" xfId="3" applyNumberFormat="1" applyFont="1" applyFill="1" applyBorder="1" applyAlignment="1" applyProtection="1">
      <alignment horizontal="right"/>
      <protection locked="0"/>
    </xf>
    <xf numFmtId="165" fontId="8" fillId="0" borderId="0" xfId="3" applyNumberFormat="1" applyFont="1" applyFill="1" applyBorder="1" applyAlignment="1" applyProtection="1">
      <alignment horizontal="right"/>
      <protection locked="0"/>
    </xf>
    <xf numFmtId="0" fontId="6" fillId="0" borderId="0" xfId="0" applyFont="1" applyFill="1" applyBorder="1" applyProtection="1"/>
    <xf numFmtId="0" fontId="9" fillId="2" borderId="7" xfId="0" applyFont="1" applyFill="1" applyBorder="1" applyAlignment="1" applyProtection="1">
      <alignment horizontal="right"/>
      <protection locked="0"/>
    </xf>
    <xf numFmtId="0" fontId="8" fillId="0" borderId="0" xfId="0" applyFont="1" applyFill="1" applyBorder="1" applyAlignment="1" applyProtection="1">
      <alignment horizontal="right" wrapText="1"/>
      <protection locked="0"/>
    </xf>
    <xf numFmtId="0" fontId="16" fillId="0" borderId="0" xfId="0" applyFont="1" applyFill="1" applyProtection="1"/>
    <xf numFmtId="0" fontId="16" fillId="0" borderId="0" xfId="0" applyFont="1" applyFill="1" applyAlignment="1" applyProtection="1">
      <alignment wrapText="1"/>
    </xf>
    <xf numFmtId="0" fontId="16" fillId="0" borderId="0" xfId="0" applyFont="1" applyAlignment="1" applyProtection="1">
      <alignment horizontal="left"/>
    </xf>
    <xf numFmtId="0" fontId="16" fillId="0" borderId="0" xfId="0" applyFont="1" applyProtection="1"/>
    <xf numFmtId="0" fontId="16" fillId="0" borderId="0" xfId="0" applyFont="1" applyBorder="1" applyAlignment="1" applyProtection="1">
      <alignment horizontal="right"/>
    </xf>
    <xf numFmtId="0" fontId="16" fillId="0" borderId="0" xfId="0" applyFont="1" applyBorder="1" applyProtection="1"/>
    <xf numFmtId="0" fontId="18" fillId="0" borderId="14" xfId="0" applyFont="1" applyFill="1" applyBorder="1" applyProtection="1"/>
    <xf numFmtId="0" fontId="18" fillId="0" borderId="0" xfId="0" applyFont="1" applyProtection="1"/>
    <xf numFmtId="0" fontId="18" fillId="0" borderId="16" xfId="0" applyFont="1" applyFill="1" applyBorder="1" applyProtection="1"/>
    <xf numFmtId="0" fontId="18" fillId="0" borderId="0" xfId="0" applyFont="1" applyFill="1" applyProtection="1"/>
    <xf numFmtId="165" fontId="0" fillId="0" borderId="0" xfId="0" applyNumberFormat="1" applyProtection="1"/>
    <xf numFmtId="165" fontId="16" fillId="0" borderId="0" xfId="3" applyNumberFormat="1" applyFont="1" applyAlignment="1" applyProtection="1">
      <alignment horizontal="right"/>
    </xf>
    <xf numFmtId="43" fontId="16" fillId="0" borderId="0" xfId="3" applyFont="1" applyProtection="1"/>
    <xf numFmtId="165" fontId="6" fillId="0" borderId="0" xfId="0" applyNumberFormat="1" applyFont="1" applyAlignment="1" applyProtection="1">
      <alignment horizontal="left" wrapText="1"/>
    </xf>
    <xf numFmtId="165" fontId="18" fillId="0" borderId="0" xfId="0" applyNumberFormat="1" applyFont="1" applyAlignment="1" applyProtection="1">
      <alignment horizontal="right"/>
    </xf>
    <xf numFmtId="165" fontId="16" fillId="0" borderId="0" xfId="0" applyNumberFormat="1" applyFont="1" applyAlignment="1" applyProtection="1">
      <alignment horizontal="right"/>
    </xf>
    <xf numFmtId="165" fontId="16" fillId="0" borderId="0" xfId="3" applyNumberFormat="1" applyFont="1" applyProtection="1"/>
    <xf numFmtId="43" fontId="16" fillId="2" borderId="0" xfId="3" applyFont="1" applyFill="1" applyAlignment="1" applyProtection="1">
      <alignment shrinkToFit="1"/>
    </xf>
    <xf numFmtId="0" fontId="0" fillId="0" borderId="0" xfId="0" applyFill="1" applyAlignment="1" applyProtection="1">
      <alignment horizontal="left"/>
    </xf>
    <xf numFmtId="0" fontId="0" fillId="0" borderId="17" xfId="0" applyFill="1" applyBorder="1" applyAlignment="1" applyProtection="1">
      <alignment horizontal="left"/>
    </xf>
    <xf numFmtId="165" fontId="0" fillId="0" borderId="18" xfId="3" applyNumberFormat="1" applyFont="1" applyFill="1" applyBorder="1" applyAlignment="1" applyProtection="1">
      <alignment horizontal="left"/>
    </xf>
    <xf numFmtId="43" fontId="0" fillId="0" borderId="18" xfId="3" applyFont="1" applyFill="1" applyBorder="1" applyAlignment="1" applyProtection="1">
      <alignment horizontal="left"/>
    </xf>
    <xf numFmtId="165" fontId="19" fillId="0" borderId="19" xfId="2" applyNumberFormat="1" applyFont="1" applyFill="1" applyBorder="1" applyAlignment="1" applyProtection="1">
      <alignment horizontal="left"/>
    </xf>
    <xf numFmtId="0" fontId="21" fillId="0" borderId="0" xfId="0" applyFont="1" applyFill="1" applyProtection="1"/>
    <xf numFmtId="165" fontId="21" fillId="0" borderId="0" xfId="3" applyNumberFormat="1" applyFont="1" applyFill="1" applyProtection="1"/>
    <xf numFmtId="165" fontId="21" fillId="0" borderId="0" xfId="3" applyNumberFormat="1" applyFont="1" applyFill="1" applyAlignment="1" applyProtection="1">
      <alignment horizontal="right"/>
      <protection hidden="1"/>
    </xf>
    <xf numFmtId="165" fontId="22" fillId="0" borderId="0" xfId="3" applyNumberFormat="1" applyFont="1" applyFill="1" applyAlignment="1" applyProtection="1">
      <alignment horizontal="right"/>
      <protection hidden="1"/>
    </xf>
    <xf numFmtId="0" fontId="23" fillId="0" borderId="0" xfId="0" applyFont="1" applyFill="1" applyProtection="1">
      <protection hidden="1"/>
    </xf>
    <xf numFmtId="0" fontId="23" fillId="0" borderId="0" xfId="0" applyFont="1" applyFill="1" applyProtection="1"/>
    <xf numFmtId="0" fontId="24" fillId="0" borderId="0" xfId="0" applyFont="1" applyFill="1" applyProtection="1"/>
    <xf numFmtId="165" fontId="24" fillId="0" borderId="0" xfId="3" applyNumberFormat="1" applyFont="1" applyFill="1" applyProtection="1"/>
    <xf numFmtId="165" fontId="24" fillId="0" borderId="0" xfId="3" applyNumberFormat="1" applyFont="1" applyFill="1" applyAlignment="1" applyProtection="1">
      <alignment horizontal="right"/>
      <protection hidden="1"/>
    </xf>
    <xf numFmtId="0" fontId="19" fillId="0" borderId="0" xfId="0" applyFont="1" applyFill="1" applyProtection="1">
      <protection hidden="1"/>
    </xf>
    <xf numFmtId="0" fontId="19" fillId="0" borderId="0" xfId="0" applyFont="1" applyFill="1" applyProtection="1"/>
    <xf numFmtId="0" fontId="25" fillId="0" borderId="0" xfId="0" applyFont="1" applyFill="1" applyProtection="1"/>
    <xf numFmtId="165" fontId="25" fillId="0" borderId="0" xfId="3" applyNumberFormat="1" applyFont="1" applyFill="1" applyProtection="1"/>
    <xf numFmtId="165" fontId="25" fillId="0" borderId="0" xfId="3" applyNumberFormat="1" applyFont="1" applyFill="1" applyAlignment="1" applyProtection="1">
      <alignment horizontal="right"/>
      <protection hidden="1"/>
    </xf>
    <xf numFmtId="0" fontId="26" fillId="0" borderId="0" xfId="0" applyFont="1" applyFill="1" applyProtection="1">
      <protection hidden="1"/>
    </xf>
    <xf numFmtId="0" fontId="26" fillId="0" borderId="0" xfId="0" applyFont="1" applyFill="1" applyProtection="1"/>
    <xf numFmtId="0" fontId="27" fillId="0" borderId="0" xfId="0" applyFont="1" applyFill="1" applyProtection="1"/>
    <xf numFmtId="165" fontId="27" fillId="0" borderId="0" xfId="3" applyNumberFormat="1" applyFont="1" applyFill="1" applyProtection="1"/>
    <xf numFmtId="165" fontId="27" fillId="0" borderId="0" xfId="3" applyNumberFormat="1" applyFont="1" applyFill="1" applyAlignment="1" applyProtection="1">
      <alignment horizontal="right"/>
      <protection hidden="1"/>
    </xf>
    <xf numFmtId="0" fontId="28" fillId="0" borderId="0" xfId="0" applyFont="1" applyFill="1" applyProtection="1">
      <protection hidden="1"/>
    </xf>
    <xf numFmtId="0" fontId="29" fillId="0" borderId="0" xfId="0" applyFont="1" applyFill="1" applyProtection="1">
      <protection hidden="1"/>
    </xf>
    <xf numFmtId="0" fontId="30" fillId="0" borderId="0" xfId="0" applyFont="1" applyFill="1" applyProtection="1"/>
    <xf numFmtId="0" fontId="0" fillId="0" borderId="0" xfId="0" applyFill="1" applyProtection="1"/>
    <xf numFmtId="0" fontId="0" fillId="0" borderId="0" xfId="0" applyFill="1" applyBorder="1" applyProtection="1"/>
    <xf numFmtId="0" fontId="21" fillId="0" borderId="0" xfId="0" applyFont="1" applyFill="1" applyBorder="1" applyProtection="1"/>
    <xf numFmtId="165" fontId="0" fillId="0" borderId="0" xfId="3" applyNumberFormat="1" applyFont="1" applyFill="1" applyBorder="1" applyProtection="1"/>
    <xf numFmtId="0" fontId="0" fillId="0" borderId="5" xfId="0" applyFill="1" applyBorder="1" applyAlignment="1" applyProtection="1">
      <alignment horizontal="left"/>
    </xf>
    <xf numFmtId="165" fontId="0" fillId="0" borderId="0" xfId="3" applyNumberFormat="1" applyFont="1" applyFill="1" applyBorder="1" applyAlignment="1" applyProtection="1">
      <alignment horizontal="left"/>
    </xf>
    <xf numFmtId="43" fontId="0" fillId="0" borderId="0" xfId="3" applyFont="1" applyFill="1" applyBorder="1" applyAlignment="1" applyProtection="1">
      <alignment horizontal="left"/>
    </xf>
    <xf numFmtId="165" fontId="19" fillId="0" borderId="3" xfId="2" applyNumberFormat="1" applyFont="1" applyFill="1" applyBorder="1" applyAlignment="1" applyProtection="1">
      <alignment horizontal="left"/>
    </xf>
    <xf numFmtId="0" fontId="0" fillId="0" borderId="0" xfId="0" applyFill="1" applyBorder="1" applyAlignment="1" applyProtection="1">
      <alignment horizontal="left"/>
    </xf>
    <xf numFmtId="0" fontId="0" fillId="0" borderId="20" xfId="0" applyFill="1" applyBorder="1" applyAlignment="1" applyProtection="1">
      <alignment horizontal="left"/>
    </xf>
    <xf numFmtId="0" fontId="0" fillId="0" borderId="2" xfId="0" applyFill="1" applyBorder="1" applyAlignment="1" applyProtection="1">
      <alignment horizontal="left" wrapText="1"/>
    </xf>
    <xf numFmtId="43" fontId="0" fillId="0" borderId="2" xfId="3" applyFont="1" applyFill="1" applyBorder="1" applyAlignment="1" applyProtection="1">
      <alignment horizontal="left" wrapText="1"/>
    </xf>
    <xf numFmtId="165" fontId="19" fillId="0" borderId="7" xfId="2" applyNumberFormat="1" applyFont="1" applyFill="1" applyBorder="1" applyAlignment="1" applyProtection="1">
      <alignment horizontal="left"/>
    </xf>
    <xf numFmtId="0" fontId="0" fillId="0" borderId="0" xfId="0" applyFill="1" applyBorder="1" applyAlignment="1" applyProtection="1">
      <alignment horizontal="left" wrapText="1"/>
    </xf>
    <xf numFmtId="43" fontId="0" fillId="0" borderId="0" xfId="3" applyFont="1" applyFill="1" applyBorder="1" applyAlignment="1" applyProtection="1">
      <alignment horizontal="left" wrapText="1"/>
    </xf>
    <xf numFmtId="165" fontId="19" fillId="0" borderId="0" xfId="2" applyNumberFormat="1" applyFont="1" applyFill="1" applyBorder="1" applyAlignment="1" applyProtection="1">
      <alignment horizontal="left"/>
    </xf>
    <xf numFmtId="0" fontId="4" fillId="0" borderId="21" xfId="0" applyFont="1" applyFill="1" applyBorder="1" applyAlignment="1" applyProtection="1">
      <alignment horizontal="center"/>
    </xf>
    <xf numFmtId="165" fontId="21" fillId="0" borderId="0" xfId="3" applyNumberFormat="1" applyFont="1" applyFill="1" applyBorder="1" applyProtection="1"/>
    <xf numFmtId="165" fontId="21" fillId="0" borderId="0" xfId="3" applyNumberFormat="1" applyFont="1" applyFill="1" applyBorder="1" applyAlignment="1" applyProtection="1">
      <alignment horizontal="right"/>
      <protection hidden="1"/>
    </xf>
    <xf numFmtId="165" fontId="19" fillId="0" borderId="0" xfId="3" applyNumberFormat="1" applyFont="1" applyFill="1" applyBorder="1" applyAlignment="1" applyProtection="1">
      <alignment horizontal="right"/>
      <protection hidden="1"/>
    </xf>
    <xf numFmtId="0" fontId="23" fillId="0" borderId="0" xfId="0" applyFont="1" applyFill="1" applyBorder="1" applyProtection="1"/>
    <xf numFmtId="0" fontId="24" fillId="0" borderId="0" xfId="0" applyFont="1" applyFill="1" applyBorder="1" applyProtection="1"/>
    <xf numFmtId="165" fontId="24" fillId="0" borderId="0" xfId="3" applyNumberFormat="1" applyFont="1" applyFill="1" applyBorder="1" applyProtection="1"/>
    <xf numFmtId="165" fontId="24" fillId="0" borderId="0" xfId="3" applyNumberFormat="1" applyFont="1" applyFill="1" applyBorder="1" applyProtection="1">
      <protection hidden="1"/>
    </xf>
    <xf numFmtId="165" fontId="24" fillId="0" borderId="0" xfId="3" applyNumberFormat="1" applyFont="1" applyFill="1" applyBorder="1" applyAlignment="1" applyProtection="1">
      <alignment horizontal="right"/>
      <protection hidden="1"/>
    </xf>
    <xf numFmtId="165" fontId="23" fillId="0" borderId="0" xfId="3" applyNumberFormat="1" applyFont="1" applyFill="1" applyBorder="1" applyAlignment="1" applyProtection="1">
      <alignment horizontal="right"/>
      <protection hidden="1"/>
    </xf>
    <xf numFmtId="0" fontId="19" fillId="0" borderId="0" xfId="0" applyFont="1" applyFill="1" applyBorder="1" applyProtection="1"/>
    <xf numFmtId="0" fontId="25" fillId="0" borderId="0" xfId="0" applyFont="1" applyFill="1" applyBorder="1" applyProtection="1"/>
    <xf numFmtId="165" fontId="25" fillId="0" borderId="0" xfId="3" applyNumberFormat="1" applyFont="1" applyFill="1" applyBorder="1" applyProtection="1"/>
    <xf numFmtId="165" fontId="25" fillId="0" borderId="0" xfId="3" applyNumberFormat="1" applyFont="1" applyFill="1" applyBorder="1" applyProtection="1">
      <protection hidden="1"/>
    </xf>
    <xf numFmtId="165" fontId="25" fillId="0" borderId="0" xfId="3" applyNumberFormat="1" applyFont="1" applyFill="1" applyBorder="1" applyAlignment="1" applyProtection="1">
      <alignment horizontal="right"/>
      <protection hidden="1"/>
    </xf>
    <xf numFmtId="165" fontId="26" fillId="0" borderId="0" xfId="3" applyNumberFormat="1" applyFont="1" applyFill="1" applyBorder="1" applyAlignment="1" applyProtection="1">
      <alignment horizontal="right"/>
      <protection hidden="1"/>
    </xf>
    <xf numFmtId="0" fontId="26" fillId="0" borderId="0" xfId="0" applyFont="1" applyFill="1" applyBorder="1" applyProtection="1"/>
    <xf numFmtId="0" fontId="27" fillId="0" borderId="0" xfId="0" applyFont="1" applyFill="1" applyBorder="1" applyProtection="1"/>
    <xf numFmtId="165" fontId="27" fillId="0" borderId="0" xfId="3" applyNumberFormat="1" applyFont="1" applyFill="1" applyBorder="1" applyProtection="1"/>
    <xf numFmtId="165" fontId="27" fillId="0" borderId="0" xfId="3" applyNumberFormat="1" applyFont="1" applyFill="1" applyBorder="1" applyProtection="1">
      <protection hidden="1"/>
    </xf>
    <xf numFmtId="165" fontId="27" fillId="0" borderId="0" xfId="3" applyNumberFormat="1" applyFont="1" applyFill="1" applyBorder="1" applyAlignment="1" applyProtection="1">
      <alignment horizontal="right"/>
      <protection hidden="1"/>
    </xf>
    <xf numFmtId="165" fontId="28" fillId="0" borderId="0" xfId="3" applyNumberFormat="1" applyFont="1" applyFill="1" applyBorder="1" applyAlignment="1" applyProtection="1">
      <alignment horizontal="right"/>
      <protection hidden="1"/>
    </xf>
    <xf numFmtId="0" fontId="30" fillId="0" borderId="0" xfId="0" applyFont="1" applyFill="1" applyBorder="1" applyProtection="1"/>
    <xf numFmtId="165" fontId="21" fillId="0" borderId="0" xfId="3" applyNumberFormat="1" applyFont="1" applyFill="1" applyProtection="1">
      <protection hidden="1"/>
    </xf>
    <xf numFmtId="165" fontId="19" fillId="0" borderId="0" xfId="3" applyNumberFormat="1" applyFont="1" applyFill="1" applyAlignment="1" applyProtection="1">
      <alignment horizontal="right"/>
      <protection hidden="1"/>
    </xf>
    <xf numFmtId="49" fontId="35" fillId="0" borderId="0" xfId="0" applyNumberFormat="1" applyFont="1" applyFill="1" applyBorder="1" applyAlignment="1" applyProtection="1">
      <alignment wrapText="1"/>
    </xf>
    <xf numFmtId="0" fontId="36" fillId="0" borderId="0" xfId="0" applyFont="1" applyFill="1" applyBorder="1" applyProtection="1"/>
    <xf numFmtId="0" fontId="35" fillId="0" borderId="0" xfId="0" applyFont="1" applyFill="1" applyBorder="1" applyProtection="1"/>
    <xf numFmtId="0" fontId="36" fillId="0" borderId="2" xfId="0" applyFont="1" applyFill="1" applyBorder="1" applyProtection="1"/>
    <xf numFmtId="9" fontId="37" fillId="0" borderId="23" xfId="7" applyFont="1" applyFill="1" applyBorder="1" applyProtection="1"/>
    <xf numFmtId="9" fontId="37" fillId="0" borderId="24" xfId="7" applyFont="1" applyFill="1" applyBorder="1" applyAlignment="1" applyProtection="1">
      <alignment horizontal="left"/>
    </xf>
    <xf numFmtId="0" fontId="37" fillId="0" borderId="24" xfId="0" applyFont="1" applyFill="1" applyBorder="1" applyProtection="1"/>
    <xf numFmtId="165" fontId="37" fillId="0" borderId="24" xfId="3" applyNumberFormat="1" applyFont="1" applyFill="1" applyBorder="1" applyAlignment="1" applyProtection="1">
      <alignment horizontal="right"/>
      <protection hidden="1"/>
    </xf>
    <xf numFmtId="165" fontId="37" fillId="0" borderId="24" xfId="3" applyNumberFormat="1" applyFont="1" applyFill="1" applyBorder="1" applyProtection="1">
      <protection hidden="1"/>
    </xf>
    <xf numFmtId="165" fontId="37" fillId="0" borderId="24" xfId="3" applyNumberFormat="1" applyFont="1" applyFill="1" applyBorder="1" applyAlignment="1" applyProtection="1">
      <alignment horizontal="right"/>
    </xf>
    <xf numFmtId="9" fontId="38" fillId="0" borderId="25" xfId="7" applyFont="1" applyFill="1" applyBorder="1" applyProtection="1"/>
    <xf numFmtId="9" fontId="38" fillId="0" borderId="24" xfId="7" applyFont="1" applyFill="1" applyBorder="1" applyAlignment="1" applyProtection="1">
      <alignment horizontal="left"/>
    </xf>
    <xf numFmtId="0" fontId="38" fillId="0" borderId="24" xfId="0" applyFont="1" applyFill="1" applyBorder="1" applyProtection="1"/>
    <xf numFmtId="165" fontId="38" fillId="0" borderId="24" xfId="3" applyNumberFormat="1" applyFont="1" applyFill="1" applyBorder="1" applyAlignment="1" applyProtection="1">
      <alignment horizontal="right"/>
      <protection hidden="1"/>
    </xf>
    <xf numFmtId="165" fontId="38" fillId="0" borderId="24" xfId="3" applyNumberFormat="1" applyFont="1" applyFill="1" applyBorder="1" applyProtection="1">
      <protection hidden="1"/>
    </xf>
    <xf numFmtId="165" fontId="38" fillId="0" borderId="24" xfId="3" applyNumberFormat="1" applyFont="1" applyFill="1" applyBorder="1" applyAlignment="1" applyProtection="1">
      <alignment horizontal="right"/>
    </xf>
    <xf numFmtId="9" fontId="39" fillId="0" borderId="25" xfId="7" applyFont="1" applyFill="1" applyBorder="1" applyProtection="1"/>
    <xf numFmtId="9" fontId="39" fillId="0" borderId="24" xfId="7" applyFont="1" applyFill="1" applyBorder="1" applyAlignment="1" applyProtection="1">
      <alignment horizontal="left"/>
    </xf>
    <xf numFmtId="0" fontId="39" fillId="0" borderId="24" xfId="0" applyFont="1" applyFill="1" applyBorder="1" applyProtection="1"/>
    <xf numFmtId="165" fontId="39" fillId="0" borderId="24" xfId="3" applyNumberFormat="1" applyFont="1" applyFill="1" applyBorder="1" applyAlignment="1" applyProtection="1">
      <alignment horizontal="right"/>
      <protection hidden="1"/>
    </xf>
    <xf numFmtId="165" fontId="39" fillId="0" borderId="24" xfId="3" applyNumberFormat="1" applyFont="1" applyFill="1" applyBorder="1" applyProtection="1">
      <protection hidden="1"/>
    </xf>
    <xf numFmtId="165" fontId="39" fillId="0" borderId="24" xfId="3" applyNumberFormat="1" applyFont="1" applyFill="1" applyBorder="1" applyAlignment="1" applyProtection="1">
      <alignment horizontal="right"/>
    </xf>
    <xf numFmtId="9" fontId="37" fillId="0" borderId="25" xfId="7" applyFont="1" applyFill="1" applyBorder="1" applyProtection="1"/>
    <xf numFmtId="9" fontId="39" fillId="0" borderId="24" xfId="7" applyFont="1" applyFill="1" applyBorder="1" applyAlignment="1" applyProtection="1">
      <alignment horizontal="left" shrinkToFit="1"/>
    </xf>
    <xf numFmtId="9" fontId="40" fillId="0" borderId="0" xfId="7" applyFont="1" applyFill="1" applyBorder="1" applyProtection="1"/>
    <xf numFmtId="9" fontId="38" fillId="0" borderId="0" xfId="7" applyFont="1" applyFill="1" applyBorder="1" applyProtection="1"/>
    <xf numFmtId="9" fontId="36" fillId="0" borderId="0" xfId="0" applyNumberFormat="1" applyFont="1" applyFill="1" applyBorder="1" applyProtection="1"/>
    <xf numFmtId="9" fontId="36" fillId="0" borderId="0" xfId="7" applyFont="1" applyFill="1" applyBorder="1" applyProtection="1"/>
    <xf numFmtId="0" fontId="25" fillId="0" borderId="26" xfId="0" applyFont="1" applyFill="1" applyBorder="1" applyAlignment="1" applyProtection="1">
      <alignment horizontal="right" wrapText="1"/>
    </xf>
    <xf numFmtId="165" fontId="25" fillId="0" borderId="26" xfId="3" applyNumberFormat="1" applyFont="1" applyFill="1" applyBorder="1" applyAlignment="1" applyProtection="1">
      <alignment horizontal="right" wrapText="1"/>
      <protection hidden="1"/>
    </xf>
    <xf numFmtId="165" fontId="25" fillId="0" borderId="26" xfId="3" applyNumberFormat="1" applyFont="1" applyFill="1" applyBorder="1" applyAlignment="1" applyProtection="1">
      <alignment horizontal="right" wrapText="1"/>
    </xf>
    <xf numFmtId="0" fontId="27" fillId="0" borderId="26" xfId="0" applyFont="1" applyFill="1" applyBorder="1" applyAlignment="1" applyProtection="1">
      <alignment horizontal="right" wrapText="1"/>
    </xf>
    <xf numFmtId="165" fontId="27" fillId="0" borderId="26" xfId="3" applyNumberFormat="1" applyFont="1" applyFill="1" applyBorder="1" applyAlignment="1" applyProtection="1">
      <alignment horizontal="right" wrapText="1"/>
      <protection hidden="1"/>
    </xf>
    <xf numFmtId="165" fontId="27" fillId="0" borderId="26" xfId="3" applyNumberFormat="1" applyFont="1" applyFill="1" applyBorder="1" applyAlignment="1" applyProtection="1">
      <alignment horizontal="right" wrapText="1"/>
    </xf>
    <xf numFmtId="0" fontId="24" fillId="0" borderId="26" xfId="0" applyFont="1" applyFill="1" applyBorder="1" applyAlignment="1" applyProtection="1">
      <alignment horizontal="right" wrapText="1"/>
    </xf>
    <xf numFmtId="165" fontId="24" fillId="0" borderId="26" xfId="3" applyNumberFormat="1" applyFont="1" applyFill="1" applyBorder="1" applyAlignment="1" applyProtection="1">
      <alignment horizontal="right" wrapText="1"/>
      <protection hidden="1"/>
    </xf>
    <xf numFmtId="165" fontId="24" fillId="0" borderId="26" xfId="3" applyNumberFormat="1" applyFont="1" applyFill="1" applyBorder="1" applyAlignment="1" applyProtection="1">
      <alignment horizontal="right" wrapText="1"/>
    </xf>
    <xf numFmtId="0" fontId="34" fillId="0" borderId="0" xfId="0" applyFont="1" applyFill="1" applyBorder="1" applyAlignment="1" applyProtection="1">
      <alignment horizontal="right" wrapText="1"/>
    </xf>
    <xf numFmtId="165" fontId="21" fillId="0" borderId="0" xfId="3" applyNumberFormat="1" applyFont="1" applyFill="1" applyBorder="1" applyAlignment="1" applyProtection="1">
      <alignment horizontal="right" wrapText="1"/>
    </xf>
    <xf numFmtId="0" fontId="0" fillId="0" borderId="29" xfId="0" applyFill="1" applyBorder="1" applyAlignment="1" applyProtection="1">
      <alignment horizontal="left"/>
    </xf>
    <xf numFmtId="0" fontId="0" fillId="2" borderId="22" xfId="0" applyFill="1" applyBorder="1" applyAlignment="1" applyProtection="1">
      <alignment shrinkToFit="1"/>
      <protection locked="0"/>
    </xf>
    <xf numFmtId="165" fontId="0" fillId="0" borderId="22" xfId="3" applyNumberFormat="1" applyFont="1" applyFill="1" applyBorder="1" applyAlignment="1" applyProtection="1">
      <alignment shrinkToFit="1"/>
    </xf>
    <xf numFmtId="165" fontId="0" fillId="2" borderId="22" xfId="3" applyNumberFormat="1" applyFont="1" applyFill="1" applyBorder="1" applyAlignment="1" applyProtection="1">
      <alignment shrinkToFit="1"/>
      <protection locked="0"/>
    </xf>
    <xf numFmtId="165" fontId="0" fillId="3" borderId="22" xfId="3" applyNumberFormat="1" applyFont="1" applyFill="1" applyBorder="1" applyAlignment="1" applyProtection="1">
      <alignment shrinkToFit="1"/>
      <protection locked="0"/>
    </xf>
    <xf numFmtId="165" fontId="24" fillId="2" borderId="22" xfId="3" applyNumberFormat="1" applyFont="1" applyFill="1" applyBorder="1" applyAlignment="1" applyProtection="1">
      <alignment shrinkToFit="1"/>
      <protection locked="0"/>
    </xf>
    <xf numFmtId="165" fontId="24" fillId="0" borderId="22" xfId="3" applyNumberFormat="1" applyFont="1" applyFill="1" applyBorder="1" applyAlignment="1" applyProtection="1">
      <alignment shrinkToFit="1"/>
    </xf>
    <xf numFmtId="165" fontId="24" fillId="0" borderId="22" xfId="3" applyNumberFormat="1" applyFont="1" applyFill="1" applyBorder="1" applyAlignment="1" applyProtection="1">
      <alignment horizontal="right" shrinkToFit="1"/>
      <protection hidden="1"/>
    </xf>
    <xf numFmtId="165" fontId="23" fillId="0" borderId="22" xfId="3" applyNumberFormat="1" applyFont="1" applyFill="1" applyBorder="1" applyAlignment="1" applyProtection="1">
      <alignment horizontal="right" shrinkToFit="1"/>
      <protection hidden="1"/>
    </xf>
    <xf numFmtId="165" fontId="23" fillId="0" borderId="22" xfId="3" applyNumberFormat="1" applyFont="1" applyFill="1" applyBorder="1" applyAlignment="1" applyProtection="1">
      <alignment horizontal="right" shrinkToFit="1"/>
    </xf>
    <xf numFmtId="165" fontId="25" fillId="2" borderId="22" xfId="3" applyNumberFormat="1" applyFont="1" applyFill="1" applyBorder="1" applyAlignment="1" applyProtection="1">
      <alignment shrinkToFit="1"/>
      <protection locked="0"/>
    </xf>
    <xf numFmtId="165" fontId="25" fillId="0" borderId="22" xfId="3" applyNumberFormat="1" applyFont="1" applyFill="1" applyBorder="1" applyAlignment="1" applyProtection="1">
      <alignment shrinkToFit="1"/>
    </xf>
    <xf numFmtId="165" fontId="25" fillId="0" borderId="22" xfId="3" applyNumberFormat="1" applyFont="1" applyFill="1" applyBorder="1" applyAlignment="1" applyProtection="1">
      <alignment horizontal="right" shrinkToFit="1"/>
      <protection hidden="1"/>
    </xf>
    <xf numFmtId="165" fontId="26" fillId="0" borderId="22" xfId="3" applyNumberFormat="1" applyFont="1" applyFill="1" applyBorder="1" applyAlignment="1" applyProtection="1">
      <alignment horizontal="right" shrinkToFit="1"/>
      <protection hidden="1"/>
    </xf>
    <xf numFmtId="165" fontId="27" fillId="2" borderId="22" xfId="3" applyNumberFormat="1" applyFont="1" applyFill="1" applyBorder="1" applyAlignment="1" applyProtection="1">
      <alignment shrinkToFit="1"/>
      <protection locked="0"/>
    </xf>
    <xf numFmtId="165" fontId="27" fillId="0" borderId="22" xfId="3" applyNumberFormat="1" applyFont="1" applyFill="1" applyBorder="1" applyAlignment="1" applyProtection="1">
      <alignment shrinkToFit="1"/>
    </xf>
    <xf numFmtId="165" fontId="27" fillId="0" borderId="22" xfId="3" applyNumberFormat="1" applyFont="1" applyFill="1" applyBorder="1" applyAlignment="1" applyProtection="1">
      <alignment horizontal="right" shrinkToFit="1"/>
      <protection hidden="1"/>
    </xf>
    <xf numFmtId="165" fontId="28" fillId="0" borderId="22" xfId="3" applyNumberFormat="1" applyFont="1" applyFill="1" applyBorder="1" applyAlignment="1" applyProtection="1">
      <alignment horizontal="right" shrinkToFit="1"/>
      <protection hidden="1"/>
    </xf>
    <xf numFmtId="165" fontId="42" fillId="0" borderId="22" xfId="3" applyNumberFormat="1" applyFont="1" applyFill="1" applyBorder="1" applyAlignment="1" applyProtection="1">
      <alignment shrinkToFit="1"/>
    </xf>
    <xf numFmtId="165" fontId="0" fillId="0" borderId="13" xfId="3" applyNumberFormat="1" applyFont="1" applyFill="1" applyBorder="1" applyAlignment="1" applyProtection="1">
      <alignment shrinkToFit="1"/>
    </xf>
    <xf numFmtId="0" fontId="0" fillId="2" borderId="29" xfId="0" applyFill="1" applyBorder="1" applyAlignment="1" applyProtection="1">
      <alignment shrinkToFit="1"/>
      <protection locked="0"/>
    </xf>
    <xf numFmtId="165" fontId="0" fillId="0" borderId="29" xfId="3" applyNumberFormat="1" applyFont="1" applyFill="1" applyBorder="1" applyAlignment="1" applyProtection="1">
      <alignment shrinkToFit="1"/>
    </xf>
    <xf numFmtId="165" fontId="0" fillId="2" borderId="29" xfId="3" applyNumberFormat="1" applyFont="1" applyFill="1" applyBorder="1" applyAlignment="1" applyProtection="1">
      <alignment shrinkToFit="1"/>
      <protection locked="0"/>
    </xf>
    <xf numFmtId="165" fontId="24" fillId="2" borderId="29" xfId="3" applyNumberFormat="1" applyFont="1" applyFill="1" applyBorder="1" applyAlignment="1" applyProtection="1">
      <alignment shrinkToFit="1"/>
      <protection locked="0"/>
    </xf>
    <xf numFmtId="165" fontId="24" fillId="0" borderId="29" xfId="3" applyNumberFormat="1" applyFont="1" applyFill="1" applyBorder="1" applyAlignment="1" applyProtection="1">
      <alignment shrinkToFit="1"/>
    </xf>
    <xf numFmtId="165" fontId="24" fillId="0" borderId="29" xfId="3" applyNumberFormat="1" applyFont="1" applyFill="1" applyBorder="1" applyAlignment="1" applyProtection="1">
      <alignment horizontal="right" shrinkToFit="1"/>
      <protection hidden="1"/>
    </xf>
    <xf numFmtId="165" fontId="23" fillId="0" borderId="29" xfId="3" applyNumberFormat="1" applyFont="1" applyFill="1" applyBorder="1" applyAlignment="1" applyProtection="1">
      <alignment horizontal="right" shrinkToFit="1"/>
      <protection hidden="1"/>
    </xf>
    <xf numFmtId="165" fontId="25" fillId="2" borderId="29" xfId="3" applyNumberFormat="1" applyFont="1" applyFill="1" applyBorder="1" applyAlignment="1" applyProtection="1">
      <alignment shrinkToFit="1"/>
      <protection locked="0"/>
    </xf>
    <xf numFmtId="165" fontId="25" fillId="0" borderId="29" xfId="3" applyNumberFormat="1" applyFont="1" applyFill="1" applyBorder="1" applyAlignment="1" applyProtection="1">
      <alignment shrinkToFit="1"/>
    </xf>
    <xf numFmtId="165" fontId="25" fillId="0" borderId="29" xfId="3" applyNumberFormat="1" applyFont="1" applyFill="1" applyBorder="1" applyAlignment="1" applyProtection="1">
      <alignment horizontal="right" shrinkToFit="1"/>
      <protection hidden="1"/>
    </xf>
    <xf numFmtId="165" fontId="26" fillId="0" borderId="29" xfId="3" applyNumberFormat="1" applyFont="1" applyFill="1" applyBorder="1" applyAlignment="1" applyProtection="1">
      <alignment horizontal="right" shrinkToFit="1"/>
      <protection hidden="1"/>
    </xf>
    <xf numFmtId="165" fontId="27" fillId="2" borderId="29" xfId="3" applyNumberFormat="1" applyFont="1" applyFill="1" applyBorder="1" applyAlignment="1" applyProtection="1">
      <alignment shrinkToFit="1"/>
      <protection locked="0"/>
    </xf>
    <xf numFmtId="165" fontId="27" fillId="0" borderId="29" xfId="3" applyNumberFormat="1" applyFont="1" applyFill="1" applyBorder="1" applyAlignment="1" applyProtection="1">
      <alignment shrinkToFit="1"/>
    </xf>
    <xf numFmtId="165" fontId="27" fillId="0" borderId="29" xfId="3" applyNumberFormat="1" applyFont="1" applyFill="1" applyBorder="1" applyAlignment="1" applyProtection="1">
      <alignment horizontal="right" shrinkToFit="1"/>
      <protection hidden="1"/>
    </xf>
    <xf numFmtId="165" fontId="28" fillId="0" borderId="29" xfId="3" applyNumberFormat="1" applyFont="1" applyFill="1" applyBorder="1" applyAlignment="1" applyProtection="1">
      <alignment horizontal="right" shrinkToFit="1"/>
      <protection hidden="1"/>
    </xf>
    <xf numFmtId="165" fontId="42" fillId="0" borderId="29" xfId="3" applyNumberFormat="1" applyFont="1" applyFill="1" applyBorder="1" applyAlignment="1" applyProtection="1">
      <alignment shrinkToFit="1"/>
    </xf>
    <xf numFmtId="165" fontId="43" fillId="0" borderId="29" xfId="3" applyNumberFormat="1" applyFont="1" applyFill="1" applyBorder="1" applyAlignment="1" applyProtection="1">
      <alignment shrinkToFit="1"/>
      <protection hidden="1"/>
    </xf>
    <xf numFmtId="165" fontId="43" fillId="0" borderId="29" xfId="3" applyNumberFormat="1" applyFont="1" applyFill="1" applyBorder="1" applyAlignment="1" applyProtection="1">
      <alignment horizontal="right" shrinkToFit="1"/>
      <protection hidden="1"/>
    </xf>
    <xf numFmtId="165" fontId="44" fillId="0" borderId="29" xfId="3" applyNumberFormat="1" applyFont="1" applyFill="1" applyBorder="1" applyAlignment="1" applyProtection="1">
      <alignment shrinkToFit="1"/>
      <protection hidden="1"/>
    </xf>
    <xf numFmtId="165" fontId="44" fillId="0" borderId="29" xfId="3" applyNumberFormat="1" applyFont="1" applyFill="1" applyBorder="1" applyAlignment="1" applyProtection="1">
      <alignment horizontal="right" shrinkToFit="1"/>
      <protection hidden="1"/>
    </xf>
    <xf numFmtId="165" fontId="45" fillId="0" borderId="29" xfId="3" applyNumberFormat="1" applyFont="1" applyFill="1" applyBorder="1" applyAlignment="1" applyProtection="1">
      <alignment shrinkToFit="1"/>
      <protection hidden="1"/>
    </xf>
    <xf numFmtId="165" fontId="45" fillId="0" borderId="29" xfId="3" applyNumberFormat="1" applyFont="1" applyFill="1" applyBorder="1" applyAlignment="1" applyProtection="1">
      <alignment horizontal="right" shrinkToFit="1"/>
      <protection hidden="1"/>
    </xf>
    <xf numFmtId="165" fontId="46" fillId="0" borderId="29" xfId="3" applyNumberFormat="1" applyFont="1" applyFill="1" applyBorder="1" applyAlignment="1" applyProtection="1">
      <alignment shrinkToFit="1"/>
      <protection hidden="1"/>
    </xf>
    <xf numFmtId="165" fontId="46" fillId="0" borderId="0" xfId="3" applyNumberFormat="1" applyFont="1" applyFill="1" applyBorder="1" applyProtection="1">
      <protection hidden="1"/>
    </xf>
    <xf numFmtId="165" fontId="30" fillId="0" borderId="0" xfId="3" applyNumberFormat="1" applyFont="1" applyFill="1" applyBorder="1" applyProtection="1">
      <protection hidden="1"/>
    </xf>
    <xf numFmtId="165" fontId="47" fillId="0" borderId="0" xfId="3" applyNumberFormat="1" applyFont="1" applyFill="1" applyBorder="1" applyProtection="1">
      <protection hidden="1"/>
    </xf>
    <xf numFmtId="165" fontId="44" fillId="0" borderId="0" xfId="3" applyNumberFormat="1" applyFont="1" applyFill="1" applyBorder="1" applyProtection="1">
      <protection hidden="1"/>
    </xf>
    <xf numFmtId="165" fontId="10" fillId="0" borderId="29" xfId="3" applyNumberFormat="1" applyFont="1" applyFill="1" applyBorder="1" applyAlignment="1" applyProtection="1">
      <alignment shrinkToFit="1"/>
      <protection hidden="1"/>
    </xf>
    <xf numFmtId="165" fontId="44" fillId="0" borderId="29" xfId="3" applyNumberFormat="1" applyFont="1" applyFill="1" applyBorder="1" applyAlignment="1" applyProtection="1">
      <alignment shrinkToFit="1"/>
      <protection locked="0" hidden="1"/>
    </xf>
    <xf numFmtId="0" fontId="0" fillId="2" borderId="21" xfId="0" applyFill="1" applyBorder="1" applyAlignment="1" applyProtection="1">
      <alignment shrinkToFit="1"/>
      <protection locked="0"/>
    </xf>
    <xf numFmtId="165" fontId="0" fillId="0" borderId="21" xfId="3" applyNumberFormat="1" applyFont="1" applyFill="1" applyBorder="1" applyAlignment="1" applyProtection="1">
      <alignment shrinkToFit="1"/>
    </xf>
    <xf numFmtId="165" fontId="0" fillId="2" borderId="21" xfId="3" applyNumberFormat="1" applyFont="1" applyFill="1" applyBorder="1" applyAlignment="1" applyProtection="1">
      <alignment shrinkToFit="1"/>
      <protection locked="0"/>
    </xf>
    <xf numFmtId="165" fontId="0" fillId="3" borderId="30" xfId="3" applyNumberFormat="1" applyFont="1" applyFill="1" applyBorder="1" applyAlignment="1" applyProtection="1">
      <alignment shrinkToFit="1"/>
      <protection locked="0"/>
    </xf>
    <xf numFmtId="165" fontId="24" fillId="2" borderId="21" xfId="3" applyNumberFormat="1" applyFont="1" applyFill="1" applyBorder="1" applyAlignment="1" applyProtection="1">
      <alignment shrinkToFit="1"/>
      <protection locked="0"/>
    </xf>
    <xf numFmtId="165" fontId="24" fillId="0" borderId="21" xfId="3" applyNumberFormat="1" applyFont="1" applyFill="1" applyBorder="1" applyAlignment="1" applyProtection="1">
      <alignment shrinkToFit="1"/>
    </xf>
    <xf numFmtId="165" fontId="24" fillId="0" borderId="21" xfId="3" applyNumberFormat="1" applyFont="1" applyFill="1" applyBorder="1" applyAlignment="1" applyProtection="1">
      <alignment horizontal="right" shrinkToFit="1"/>
      <protection hidden="1"/>
    </xf>
    <xf numFmtId="165" fontId="23" fillId="0" borderId="21" xfId="3" applyNumberFormat="1" applyFont="1" applyFill="1" applyBorder="1" applyAlignment="1" applyProtection="1">
      <alignment horizontal="right" shrinkToFit="1"/>
      <protection hidden="1"/>
    </xf>
    <xf numFmtId="165" fontId="23" fillId="0" borderId="30" xfId="3" applyNumberFormat="1" applyFont="1" applyFill="1" applyBorder="1" applyAlignment="1" applyProtection="1">
      <alignment horizontal="right" shrinkToFit="1"/>
    </xf>
    <xf numFmtId="165" fontId="25" fillId="2" borderId="21" xfId="3" applyNumberFormat="1" applyFont="1" applyFill="1" applyBorder="1" applyAlignment="1" applyProtection="1">
      <alignment shrinkToFit="1"/>
      <protection locked="0"/>
    </xf>
    <xf numFmtId="165" fontId="25" fillId="0" borderId="21" xfId="3" applyNumberFormat="1" applyFont="1" applyFill="1" applyBorder="1" applyAlignment="1" applyProtection="1">
      <alignment shrinkToFit="1"/>
    </xf>
    <xf numFmtId="165" fontId="25" fillId="0" borderId="21" xfId="3" applyNumberFormat="1" applyFont="1" applyFill="1" applyBorder="1" applyAlignment="1" applyProtection="1">
      <alignment horizontal="right" shrinkToFit="1"/>
      <protection hidden="1"/>
    </xf>
    <xf numFmtId="165" fontId="26" fillId="0" borderId="21" xfId="3" applyNumberFormat="1" applyFont="1" applyFill="1" applyBorder="1" applyAlignment="1" applyProtection="1">
      <alignment horizontal="right" shrinkToFit="1"/>
      <protection hidden="1"/>
    </xf>
    <xf numFmtId="165" fontId="27" fillId="2" borderId="21" xfId="3" applyNumberFormat="1" applyFont="1" applyFill="1" applyBorder="1" applyAlignment="1" applyProtection="1">
      <alignment shrinkToFit="1"/>
      <protection locked="0"/>
    </xf>
    <xf numFmtId="165" fontId="27" fillId="0" borderId="21" xfId="3" applyNumberFormat="1" applyFont="1" applyFill="1" applyBorder="1" applyAlignment="1" applyProtection="1">
      <alignment shrinkToFit="1"/>
    </xf>
    <xf numFmtId="165" fontId="27" fillId="0" borderId="21" xfId="3" applyNumberFormat="1" applyFont="1" applyFill="1" applyBorder="1" applyAlignment="1" applyProtection="1">
      <alignment horizontal="right" shrinkToFit="1"/>
      <protection hidden="1"/>
    </xf>
    <xf numFmtId="165" fontId="28" fillId="0" borderId="21" xfId="3" applyNumberFormat="1" applyFont="1" applyFill="1" applyBorder="1" applyAlignment="1" applyProtection="1">
      <alignment horizontal="right" shrinkToFit="1"/>
      <protection hidden="1"/>
    </xf>
    <xf numFmtId="165" fontId="42" fillId="0" borderId="21" xfId="3" applyNumberFormat="1" applyFont="1" applyFill="1" applyBorder="1" applyAlignment="1" applyProtection="1">
      <alignment shrinkToFit="1"/>
    </xf>
    <xf numFmtId="165" fontId="0" fillId="3" borderId="29" xfId="3" applyNumberFormat="1" applyFont="1" applyFill="1" applyBorder="1" applyAlignment="1" applyProtection="1">
      <alignment shrinkToFit="1"/>
      <protection locked="0"/>
    </xf>
    <xf numFmtId="165" fontId="23" fillId="0" borderId="29" xfId="3" applyNumberFormat="1" applyFont="1" applyFill="1" applyBorder="1" applyAlignment="1" applyProtection="1">
      <alignment horizontal="right" shrinkToFit="1"/>
    </xf>
    <xf numFmtId="165" fontId="10" fillId="0" borderId="31" xfId="3" applyNumberFormat="1" applyFont="1" applyFill="1" applyBorder="1" applyAlignment="1" applyProtection="1">
      <alignment shrinkToFit="1"/>
      <protection hidden="1"/>
    </xf>
    <xf numFmtId="165" fontId="43" fillId="0" borderId="31" xfId="3" applyNumberFormat="1" applyFont="1" applyFill="1" applyBorder="1" applyAlignment="1" applyProtection="1">
      <alignment shrinkToFit="1"/>
      <protection hidden="1"/>
    </xf>
    <xf numFmtId="165" fontId="43" fillId="0" borderId="31" xfId="3" applyNumberFormat="1" applyFont="1" applyFill="1" applyBorder="1" applyAlignment="1" applyProtection="1">
      <alignment horizontal="right" shrinkToFit="1"/>
      <protection hidden="1"/>
    </xf>
    <xf numFmtId="165" fontId="44" fillId="0" borderId="31" xfId="3" applyNumberFormat="1" applyFont="1" applyFill="1" applyBorder="1" applyAlignment="1" applyProtection="1">
      <alignment shrinkToFit="1"/>
      <protection hidden="1"/>
    </xf>
    <xf numFmtId="165" fontId="44" fillId="0" borderId="31" xfId="3" applyNumberFormat="1" applyFont="1" applyFill="1" applyBorder="1" applyAlignment="1" applyProtection="1">
      <alignment horizontal="right" shrinkToFit="1"/>
      <protection hidden="1"/>
    </xf>
    <xf numFmtId="165" fontId="45" fillId="0" borderId="31" xfId="3" applyNumberFormat="1" applyFont="1" applyFill="1" applyBorder="1" applyAlignment="1" applyProtection="1">
      <alignment shrinkToFit="1"/>
      <protection hidden="1"/>
    </xf>
    <xf numFmtId="165" fontId="45" fillId="0" borderId="31" xfId="3" applyNumberFormat="1" applyFont="1" applyFill="1" applyBorder="1" applyAlignment="1" applyProtection="1">
      <alignment horizontal="right" shrinkToFit="1"/>
      <protection hidden="1"/>
    </xf>
    <xf numFmtId="165" fontId="46" fillId="0" borderId="31" xfId="3" applyNumberFormat="1" applyFont="1" applyFill="1" applyBorder="1" applyAlignment="1" applyProtection="1">
      <alignment shrinkToFit="1"/>
      <protection hidden="1"/>
    </xf>
    <xf numFmtId="165" fontId="19" fillId="0" borderId="0" xfId="3" applyNumberFormat="1" applyFont="1" applyFill="1" applyBorder="1" applyAlignment="1" applyProtection="1">
      <alignment shrinkToFit="1"/>
      <protection hidden="1"/>
    </xf>
    <xf numFmtId="165" fontId="19" fillId="0" borderId="0" xfId="3" applyNumberFormat="1" applyFont="1" applyFill="1" applyBorder="1" applyAlignment="1" applyProtection="1">
      <alignment horizontal="right" shrinkToFit="1"/>
      <protection hidden="1"/>
    </xf>
    <xf numFmtId="165" fontId="23" fillId="0" borderId="0" xfId="3" applyNumberFormat="1" applyFont="1" applyFill="1" applyBorder="1" applyAlignment="1" applyProtection="1">
      <alignment shrinkToFit="1"/>
      <protection hidden="1"/>
    </xf>
    <xf numFmtId="165" fontId="23" fillId="0" borderId="0" xfId="3" applyNumberFormat="1" applyFont="1" applyFill="1" applyBorder="1" applyAlignment="1" applyProtection="1">
      <alignment horizontal="right" shrinkToFit="1"/>
      <protection hidden="1"/>
    </xf>
    <xf numFmtId="165" fontId="26" fillId="0" borderId="32" xfId="3" applyNumberFormat="1" applyFont="1" applyFill="1" applyBorder="1" applyAlignment="1" applyProtection="1">
      <alignment shrinkToFit="1"/>
      <protection hidden="1"/>
    </xf>
    <xf numFmtId="165" fontId="26" fillId="0" borderId="0" xfId="3" applyNumberFormat="1" applyFont="1" applyFill="1" applyBorder="1" applyAlignment="1" applyProtection="1">
      <alignment shrinkToFit="1"/>
      <protection hidden="1"/>
    </xf>
    <xf numFmtId="165" fontId="26" fillId="0" borderId="0" xfId="3" applyNumberFormat="1" applyFont="1" applyFill="1" applyBorder="1" applyAlignment="1" applyProtection="1">
      <alignment horizontal="right" shrinkToFit="1"/>
      <protection hidden="1"/>
    </xf>
    <xf numFmtId="165" fontId="28" fillId="0" borderId="32" xfId="3" applyNumberFormat="1" applyFont="1" applyFill="1" applyBorder="1" applyAlignment="1" applyProtection="1">
      <alignment shrinkToFit="1"/>
      <protection hidden="1"/>
    </xf>
    <xf numFmtId="165" fontId="28" fillId="0" borderId="0" xfId="3" applyNumberFormat="1" applyFont="1" applyFill="1" applyBorder="1" applyAlignment="1" applyProtection="1">
      <alignment shrinkToFit="1"/>
      <protection hidden="1"/>
    </xf>
    <xf numFmtId="165" fontId="28" fillId="0" borderId="0" xfId="3" applyNumberFormat="1" applyFont="1" applyFill="1" applyBorder="1" applyAlignment="1" applyProtection="1">
      <alignment horizontal="right" shrinkToFit="1"/>
      <protection hidden="1"/>
    </xf>
    <xf numFmtId="165" fontId="19" fillId="0" borderId="0" xfId="3" applyNumberFormat="1" applyFont="1" applyFill="1" applyBorder="1" applyProtection="1">
      <protection hidden="1"/>
    </xf>
    <xf numFmtId="165" fontId="23" fillId="0" borderId="0" xfId="3" applyNumberFormat="1" applyFont="1" applyFill="1" applyBorder="1" applyProtection="1">
      <protection hidden="1"/>
    </xf>
    <xf numFmtId="0" fontId="42" fillId="0" borderId="5" xfId="0" applyFont="1" applyFill="1" applyBorder="1" applyAlignment="1" applyProtection="1">
      <alignment horizontal="left"/>
    </xf>
    <xf numFmtId="0" fontId="42" fillId="0" borderId="0" xfId="0" applyFont="1" applyFill="1" applyBorder="1" applyProtection="1"/>
    <xf numFmtId="43" fontId="42" fillId="0" borderId="0" xfId="3" applyFont="1" applyFill="1" applyBorder="1" applyProtection="1"/>
    <xf numFmtId="165" fontId="42" fillId="0" borderId="0" xfId="3" applyNumberFormat="1" applyFont="1" applyFill="1" applyBorder="1" applyProtection="1"/>
    <xf numFmtId="0" fontId="42" fillId="0" borderId="8" xfId="0" applyFont="1" applyFill="1" applyBorder="1" applyAlignment="1" applyProtection="1">
      <alignment horizontal="left"/>
    </xf>
    <xf numFmtId="0" fontId="42" fillId="0" borderId="9" xfId="0" applyFont="1" applyFill="1" applyBorder="1" applyProtection="1"/>
    <xf numFmtId="0" fontId="47" fillId="0" borderId="20" xfId="0" applyFont="1" applyFill="1" applyBorder="1" applyAlignment="1" applyProtection="1">
      <alignment horizontal="left"/>
    </xf>
    <xf numFmtId="0" fontId="47" fillId="0" borderId="2" xfId="0" applyFont="1" applyFill="1" applyBorder="1" applyProtection="1"/>
    <xf numFmtId="0" fontId="47" fillId="0" borderId="0" xfId="0" applyFont="1" applyFill="1" applyBorder="1" applyProtection="1"/>
    <xf numFmtId="165" fontId="47" fillId="0" borderId="0" xfId="3" applyNumberFormat="1" applyFont="1" applyFill="1" applyBorder="1" applyProtection="1"/>
    <xf numFmtId="43" fontId="0" fillId="0" borderId="0" xfId="3" applyFont="1" applyFill="1" applyProtection="1"/>
    <xf numFmtId="0" fontId="34" fillId="0" borderId="0" xfId="0" applyFont="1" applyFill="1" applyBorder="1" applyProtection="1"/>
    <xf numFmtId="0" fontId="30" fillId="0" borderId="0" xfId="0" applyFont="1" applyFill="1" applyBorder="1" applyProtection="1">
      <protection hidden="1"/>
    </xf>
    <xf numFmtId="165" fontId="0" fillId="0" borderId="0" xfId="3" applyNumberFormat="1" applyFont="1" applyFill="1" applyProtection="1"/>
    <xf numFmtId="0" fontId="41" fillId="0" borderId="0" xfId="0" applyFont="1" applyFill="1" applyBorder="1" applyProtection="1"/>
    <xf numFmtId="165" fontId="19" fillId="0" borderId="0" xfId="3" applyNumberFormat="1" applyFont="1" applyFill="1" applyBorder="1" applyProtection="1"/>
    <xf numFmtId="0" fontId="54" fillId="0" borderId="0" xfId="0" applyFont="1"/>
    <xf numFmtId="0" fontId="0" fillId="0" borderId="0" xfId="0" applyAlignment="1">
      <alignment horizontal="right"/>
    </xf>
    <xf numFmtId="43" fontId="0" fillId="0" borderId="0" xfId="3" applyFont="1" applyAlignment="1">
      <alignment horizontal="right"/>
    </xf>
    <xf numFmtId="171" fontId="0" fillId="0" borderId="0" xfId="7" applyNumberFormat="1" applyFont="1" applyAlignment="1">
      <alignment horizontal="right"/>
    </xf>
    <xf numFmtId="0" fontId="0" fillId="0" borderId="0" xfId="0" applyAlignment="1">
      <alignment horizontal="left" wrapText="1"/>
    </xf>
    <xf numFmtId="0" fontId="0" fillId="0" borderId="0" xfId="0" applyBorder="1"/>
    <xf numFmtId="0" fontId="42" fillId="0" borderId="0" xfId="0" applyFont="1"/>
    <xf numFmtId="165" fontId="31" fillId="0" borderId="0" xfId="2" applyNumberFormat="1" applyFont="1" applyAlignment="1">
      <alignment horizontal="left"/>
    </xf>
    <xf numFmtId="0" fontId="30" fillId="0" borderId="0" xfId="0" applyFont="1" applyBorder="1"/>
    <xf numFmtId="165" fontId="0" fillId="2" borderId="0" xfId="3" applyNumberFormat="1" applyFont="1" applyFill="1" applyAlignment="1" applyProtection="1">
      <alignment shrinkToFit="1"/>
      <protection locked="0"/>
    </xf>
    <xf numFmtId="0" fontId="34" fillId="0" borderId="0" xfId="0" applyFont="1"/>
    <xf numFmtId="0" fontId="42" fillId="0" borderId="14" xfId="0" applyFont="1" applyBorder="1"/>
    <xf numFmtId="43" fontId="42" fillId="0" borderId="14" xfId="3" applyFont="1" applyBorder="1" applyAlignment="1">
      <alignment horizontal="right" shrinkToFit="1"/>
    </xf>
    <xf numFmtId="0" fontId="42" fillId="0" borderId="0" xfId="0" applyFont="1" applyBorder="1"/>
    <xf numFmtId="0" fontId="0" fillId="0" borderId="14" xfId="0" applyBorder="1"/>
    <xf numFmtId="0" fontId="30" fillId="0" borderId="0" xfId="0" applyFont="1"/>
    <xf numFmtId="0" fontId="0" fillId="0" borderId="0" xfId="0" applyAlignment="1">
      <alignment shrinkToFit="1"/>
    </xf>
    <xf numFmtId="165" fontId="0" fillId="0" borderId="0" xfId="3" applyNumberFormat="1" applyFont="1" applyAlignment="1">
      <alignment horizontal="right" shrinkToFit="1"/>
    </xf>
    <xf numFmtId="0" fontId="0" fillId="0" borderId="0" xfId="0" applyAlignment="1">
      <alignment horizontal="right" shrinkToFit="1"/>
    </xf>
    <xf numFmtId="43" fontId="0" fillId="0" borderId="0" xfId="3" applyFont="1" applyAlignment="1">
      <alignment horizontal="right" shrinkToFit="1"/>
    </xf>
    <xf numFmtId="171" fontId="0" fillId="0" borderId="0" xfId="7" applyNumberFormat="1" applyFont="1" applyAlignment="1">
      <alignment horizontal="right" shrinkToFit="1"/>
    </xf>
    <xf numFmtId="165" fontId="0" fillId="0" borderId="0" xfId="3" applyNumberFormat="1" applyFont="1" applyAlignment="1">
      <alignment horizontal="right"/>
    </xf>
    <xf numFmtId="0" fontId="16" fillId="0" borderId="0" xfId="0" applyFont="1" applyBorder="1" applyAlignment="1">
      <alignment horizontal="right"/>
    </xf>
    <xf numFmtId="0" fontId="16" fillId="0" borderId="0" xfId="0" applyFont="1" applyBorder="1"/>
    <xf numFmtId="0" fontId="16" fillId="0" borderId="0" xfId="0" applyFont="1"/>
    <xf numFmtId="0" fontId="10" fillId="0" borderId="6" xfId="0" applyFont="1" applyBorder="1" applyAlignment="1">
      <alignment horizontal="left" wrapText="1"/>
    </xf>
    <xf numFmtId="0" fontId="10" fillId="0" borderId="6" xfId="0" applyFont="1" applyBorder="1" applyAlignment="1">
      <alignment wrapText="1"/>
    </xf>
    <xf numFmtId="0" fontId="10" fillId="0" borderId="6" xfId="0" applyFont="1" applyBorder="1" applyAlignment="1">
      <alignment horizontal="right" wrapText="1"/>
    </xf>
    <xf numFmtId="171" fontId="10" fillId="0" borderId="6" xfId="7" applyNumberFormat="1" applyFont="1" applyBorder="1" applyAlignment="1">
      <alignment horizontal="right" wrapText="1"/>
    </xf>
    <xf numFmtId="165" fontId="10" fillId="0" borderId="6" xfId="3" applyNumberFormat="1" applyFont="1" applyBorder="1" applyAlignment="1">
      <alignment horizontal="right" wrapText="1"/>
    </xf>
    <xf numFmtId="0" fontId="10" fillId="0" borderId="0" xfId="0" applyFont="1" applyAlignment="1">
      <alignment wrapText="1"/>
    </xf>
    <xf numFmtId="0" fontId="10" fillId="0" borderId="0" xfId="0" applyFont="1" applyBorder="1" applyAlignment="1">
      <alignment wrapText="1"/>
    </xf>
    <xf numFmtId="0" fontId="16" fillId="0" borderId="0" xfId="0" applyFont="1" applyAlignment="1">
      <alignment shrinkToFit="1"/>
    </xf>
    <xf numFmtId="0" fontId="10" fillId="0" borderId="36" xfId="0" applyFont="1" applyBorder="1"/>
    <xf numFmtId="0" fontId="10" fillId="0" borderId="37" xfId="0" applyFont="1" applyBorder="1"/>
    <xf numFmtId="0" fontId="10" fillId="0" borderId="38" xfId="0" applyFont="1" applyBorder="1"/>
    <xf numFmtId="0" fontId="11" fillId="2" borderId="0" xfId="0" applyFont="1" applyFill="1" applyBorder="1" applyAlignment="1" applyProtection="1">
      <alignment horizontal="right"/>
      <protection locked="0"/>
    </xf>
    <xf numFmtId="0" fontId="16" fillId="0" borderId="0" xfId="0" applyFont="1" applyFill="1"/>
    <xf numFmtId="0" fontId="10" fillId="0" borderId="14" xfId="0" applyFont="1" applyBorder="1" applyAlignment="1">
      <alignment horizontal="left"/>
    </xf>
    <xf numFmtId="0" fontId="10" fillId="0" borderId="14" xfId="0" applyFont="1" applyBorder="1" applyAlignment="1">
      <alignment shrinkToFit="1"/>
    </xf>
    <xf numFmtId="0" fontId="10" fillId="0" borderId="14" xfId="0" applyFont="1" applyBorder="1" applyAlignment="1">
      <alignment horizontal="right" shrinkToFit="1"/>
    </xf>
    <xf numFmtId="165" fontId="10" fillId="0" borderId="14" xfId="3" applyNumberFormat="1" applyFont="1" applyBorder="1" applyAlignment="1">
      <alignment horizontal="right" shrinkToFit="1"/>
    </xf>
    <xf numFmtId="165" fontId="7" fillId="0" borderId="14" xfId="3" applyNumberFormat="1" applyFont="1" applyBorder="1" applyAlignment="1">
      <alignment horizontal="right" shrinkToFit="1"/>
    </xf>
    <xf numFmtId="165" fontId="10" fillId="0" borderId="14" xfId="0" applyNumberFormat="1" applyFont="1" applyBorder="1" applyAlignment="1">
      <alignment shrinkToFit="1"/>
    </xf>
    <xf numFmtId="0" fontId="10" fillId="0" borderId="0" xfId="0" applyFont="1"/>
    <xf numFmtId="0" fontId="10" fillId="0" borderId="0" xfId="0" applyFont="1" applyBorder="1"/>
    <xf numFmtId="0" fontId="16" fillId="0" borderId="0" xfId="0" applyFont="1" applyAlignment="1">
      <alignment horizontal="right"/>
    </xf>
    <xf numFmtId="171" fontId="16" fillId="0" borderId="0" xfId="7" applyNumberFormat="1" applyFont="1" applyAlignment="1">
      <alignment horizontal="right"/>
    </xf>
    <xf numFmtId="0" fontId="10" fillId="0" borderId="6" xfId="0" applyFont="1" applyBorder="1" applyAlignment="1">
      <alignment horizontal="left"/>
    </xf>
    <xf numFmtId="0" fontId="10" fillId="0" borderId="6" xfId="0" applyFont="1" applyBorder="1" applyAlignment="1">
      <alignment horizontal="right"/>
    </xf>
    <xf numFmtId="171" fontId="10" fillId="0" borderId="6" xfId="7" applyNumberFormat="1" applyFont="1" applyBorder="1" applyAlignment="1">
      <alignment horizontal="right"/>
    </xf>
    <xf numFmtId="0" fontId="16" fillId="0" borderId="0" xfId="0" applyFont="1" applyAlignment="1">
      <alignment horizontal="left"/>
    </xf>
    <xf numFmtId="49" fontId="10" fillId="0" borderId="6" xfId="0" applyNumberFormat="1" applyFont="1" applyBorder="1" applyAlignment="1">
      <alignment horizontal="right" wrapText="1"/>
    </xf>
    <xf numFmtId="49" fontId="10" fillId="0" borderId="14" xfId="0" applyNumberFormat="1" applyFont="1" applyBorder="1" applyAlignment="1">
      <alignment horizontal="right" shrinkToFit="1"/>
    </xf>
    <xf numFmtId="165" fontId="10" fillId="0" borderId="14" xfId="3" applyNumberFormat="1" applyFont="1" applyBorder="1" applyAlignment="1" applyProtection="1">
      <alignment horizontal="right" shrinkToFit="1"/>
    </xf>
    <xf numFmtId="165" fontId="10" fillId="0" borderId="14" xfId="0" applyNumberFormat="1" applyFont="1" applyBorder="1" applyAlignment="1">
      <alignment horizontal="right" shrinkToFit="1"/>
    </xf>
    <xf numFmtId="0" fontId="8" fillId="0" borderId="0" xfId="0" applyFont="1" applyAlignment="1">
      <alignment horizontal="left"/>
    </xf>
    <xf numFmtId="0" fontId="5" fillId="0" borderId="0" xfId="0" applyFont="1" applyBorder="1" applyAlignment="1">
      <alignment wrapText="1"/>
    </xf>
    <xf numFmtId="0" fontId="5" fillId="0" borderId="0" xfId="0" applyFont="1" applyAlignment="1">
      <alignment wrapText="1"/>
    </xf>
    <xf numFmtId="0" fontId="16" fillId="0" borderId="0" xfId="0" applyFont="1" applyFill="1" applyProtection="1">
      <protection hidden="1"/>
    </xf>
    <xf numFmtId="165" fontId="17" fillId="0" borderId="0" xfId="3" applyNumberFormat="1" applyFont="1" applyFill="1" applyAlignment="1" applyProtection="1">
      <protection hidden="1"/>
    </xf>
    <xf numFmtId="0" fontId="16" fillId="0" borderId="0" xfId="0" applyFont="1" applyFill="1" applyBorder="1" applyProtection="1">
      <protection hidden="1"/>
    </xf>
    <xf numFmtId="0" fontId="16" fillId="0" borderId="0" xfId="0" applyFo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right"/>
      <protection hidden="1"/>
    </xf>
    <xf numFmtId="0" fontId="16" fillId="0" borderId="0" xfId="0" applyFont="1" applyFill="1" applyAlignment="1" applyProtection="1">
      <alignment horizontal="right"/>
      <protection hidden="1"/>
    </xf>
    <xf numFmtId="0" fontId="57" fillId="0" borderId="0" xfId="0" applyFont="1" applyFill="1" applyAlignment="1" applyProtection="1">
      <alignment horizontal="left"/>
      <protection hidden="1"/>
    </xf>
    <xf numFmtId="3" fontId="57" fillId="0" borderId="0" xfId="0" applyNumberFormat="1" applyFont="1" applyBorder="1" applyProtection="1">
      <protection hidden="1"/>
    </xf>
    <xf numFmtId="9" fontId="57" fillId="0" borderId="6" xfId="7" applyFont="1" applyBorder="1" applyProtection="1">
      <protection hidden="1"/>
    </xf>
    <xf numFmtId="0" fontId="58" fillId="0" borderId="0" xfId="0" applyFont="1" applyBorder="1" applyAlignment="1" applyProtection="1">
      <alignment horizontal="left"/>
      <protection hidden="1"/>
    </xf>
    <xf numFmtId="0" fontId="58" fillId="0" borderId="0" xfId="0" applyFont="1" applyFill="1" applyProtection="1">
      <protection hidden="1"/>
    </xf>
    <xf numFmtId="0" fontId="58" fillId="0" borderId="0" xfId="0" applyFont="1" applyBorder="1" applyAlignment="1" applyProtection="1">
      <alignment horizontal="right"/>
      <protection hidden="1"/>
    </xf>
    <xf numFmtId="0" fontId="58" fillId="0" borderId="0" xfId="0" applyFont="1" applyFill="1" applyBorder="1" applyProtection="1">
      <protection hidden="1"/>
    </xf>
    <xf numFmtId="3" fontId="58" fillId="0" borderId="0" xfId="0" applyNumberFormat="1" applyFont="1" applyBorder="1" applyProtection="1">
      <protection hidden="1"/>
    </xf>
    <xf numFmtId="0" fontId="6" fillId="0" borderId="0" xfId="0" applyFont="1" applyBorder="1" applyAlignment="1" applyProtection="1">
      <alignment horizontal="left"/>
      <protection hidden="1"/>
    </xf>
    <xf numFmtId="0" fontId="6" fillId="0" borderId="6" xfId="0" applyFont="1" applyBorder="1" applyAlignment="1" applyProtection="1">
      <alignment horizontal="left"/>
      <protection hidden="1"/>
    </xf>
    <xf numFmtId="0" fontId="58" fillId="0" borderId="6" xfId="0" applyFont="1" applyFill="1" applyBorder="1" applyProtection="1">
      <protection hidden="1"/>
    </xf>
    <xf numFmtId="0" fontId="58" fillId="0" borderId="6" xfId="0" applyFont="1" applyBorder="1" applyAlignment="1" applyProtection="1">
      <alignment horizontal="right"/>
      <protection hidden="1"/>
    </xf>
    <xf numFmtId="0" fontId="10" fillId="0" borderId="0" xfId="0" applyFont="1" applyBorder="1" applyAlignment="1" applyProtection="1">
      <alignment horizontal="left"/>
      <protection hidden="1"/>
    </xf>
    <xf numFmtId="165" fontId="10" fillId="0" borderId="0" xfId="0" applyNumberFormat="1" applyFont="1" applyProtection="1">
      <protection hidden="1"/>
    </xf>
    <xf numFmtId="0" fontId="57" fillId="0" borderId="0" xfId="0" applyFont="1" applyFill="1" applyBorder="1" applyProtection="1">
      <protection hidden="1"/>
    </xf>
    <xf numFmtId="0" fontId="57" fillId="0" borderId="0" xfId="0" applyFont="1" applyFill="1" applyProtection="1">
      <protection hidden="1"/>
    </xf>
    <xf numFmtId="2" fontId="57" fillId="3" borderId="0" xfId="0" applyNumberFormat="1" applyFont="1" applyFill="1" applyProtection="1">
      <protection locked="0"/>
    </xf>
    <xf numFmtId="165" fontId="58" fillId="0" borderId="0" xfId="3" applyNumberFormat="1" applyFont="1" applyFill="1" applyProtection="1">
      <protection hidden="1"/>
    </xf>
    <xf numFmtId="3" fontId="57" fillId="0" borderId="0" xfId="0" applyNumberFormat="1" applyFont="1" applyFill="1" applyProtection="1">
      <protection hidden="1"/>
    </xf>
    <xf numFmtId="0" fontId="18" fillId="0" borderId="0" xfId="0" applyFont="1" applyAlignment="1" applyProtection="1">
      <alignment wrapText="1"/>
      <protection hidden="1"/>
    </xf>
    <xf numFmtId="0" fontId="6" fillId="0" borderId="0" xfId="0" applyFont="1" applyProtection="1">
      <protection hidden="1"/>
    </xf>
    <xf numFmtId="3" fontId="6" fillId="0" borderId="0" xfId="3" applyNumberFormat="1" applyFont="1" applyBorder="1" applyAlignment="1" applyProtection="1">
      <alignment horizontal="right" shrinkToFit="1"/>
      <protection hidden="1"/>
    </xf>
    <xf numFmtId="10" fontId="6" fillId="3" borderId="0" xfId="7" applyNumberFormat="1" applyFont="1" applyFill="1" applyBorder="1" applyAlignment="1" applyProtection="1">
      <alignment horizontal="right" shrinkToFit="1"/>
      <protection locked="0"/>
    </xf>
    <xf numFmtId="165" fontId="6" fillId="0" borderId="0" xfId="3" applyNumberFormat="1" applyFont="1" applyBorder="1" applyAlignment="1" applyProtection="1">
      <alignment horizontal="right" shrinkToFit="1"/>
      <protection hidden="1"/>
    </xf>
    <xf numFmtId="6" fontId="10" fillId="3" borderId="0" xfId="0" applyNumberFormat="1" applyFont="1" applyFill="1" applyAlignment="1" applyProtection="1">
      <alignment horizontal="right"/>
      <protection locked="0"/>
    </xf>
    <xf numFmtId="0" fontId="14" fillId="0" borderId="0" xfId="0" applyFont="1" applyProtection="1">
      <protection hidden="1"/>
    </xf>
    <xf numFmtId="0" fontId="31" fillId="0" borderId="0" xfId="0" applyFont="1" applyAlignment="1">
      <alignment horizontal="left"/>
    </xf>
    <xf numFmtId="0" fontId="32" fillId="0" borderId="0" xfId="0" applyFont="1" applyAlignment="1">
      <alignment horizontal="left"/>
    </xf>
    <xf numFmtId="165" fontId="31" fillId="0" borderId="0" xfId="3" applyNumberFormat="1" applyFont="1" applyAlignment="1">
      <alignment horizontal="left"/>
    </xf>
    <xf numFmtId="165" fontId="0" fillId="0" borderId="0" xfId="3" applyNumberFormat="1" applyFont="1"/>
    <xf numFmtId="0" fontId="0" fillId="0" borderId="0" xfId="0" applyAlignment="1" applyProtection="1">
      <alignment wrapText="1"/>
      <protection locked="0"/>
    </xf>
    <xf numFmtId="0" fontId="18" fillId="0" borderId="0" xfId="0" applyFont="1"/>
    <xf numFmtId="165" fontId="30" fillId="0" borderId="0" xfId="3" applyNumberFormat="1" applyFont="1"/>
    <xf numFmtId="9" fontId="0" fillId="0" borderId="0" xfId="7" applyFont="1"/>
    <xf numFmtId="0" fontId="55" fillId="0" borderId="17" xfId="0" applyFont="1" applyBorder="1"/>
    <xf numFmtId="0" fontId="0" fillId="0" borderId="18" xfId="0" applyBorder="1"/>
    <xf numFmtId="165" fontId="0" fillId="0" borderId="19" xfId="3" applyNumberFormat="1" applyFont="1" applyBorder="1"/>
    <xf numFmtId="0" fontId="0" fillId="0" borderId="5" xfId="0" applyBorder="1"/>
    <xf numFmtId="165" fontId="0" fillId="0" borderId="3" xfId="3" applyNumberFormat="1" applyFont="1" applyBorder="1"/>
    <xf numFmtId="165" fontId="0" fillId="0" borderId="0" xfId="3" applyNumberFormat="1" applyFont="1" applyBorder="1"/>
    <xf numFmtId="0" fontId="0" fillId="0" borderId="46" xfId="0" applyBorder="1"/>
    <xf numFmtId="0" fontId="0" fillId="0" borderId="0" xfId="0" applyFill="1" applyBorder="1"/>
    <xf numFmtId="0" fontId="32" fillId="0" borderId="0" xfId="0" applyFont="1" applyAlignment="1" applyProtection="1">
      <alignment horizontal="left"/>
      <protection hidden="1"/>
    </xf>
    <xf numFmtId="0" fontId="0" fillId="0" borderId="0" xfId="0" applyProtection="1">
      <protection hidden="1"/>
    </xf>
    <xf numFmtId="0" fontId="0" fillId="0" borderId="0" xfId="0" applyAlignment="1" applyProtection="1">
      <alignment horizontal="right"/>
      <protection hidden="1"/>
    </xf>
    <xf numFmtId="165" fontId="34" fillId="0" borderId="0" xfId="3" applyNumberFormat="1" applyFont="1" applyAlignment="1" applyProtection="1">
      <alignment horizontal="right"/>
      <protection hidden="1"/>
    </xf>
    <xf numFmtId="9" fontId="34" fillId="0" borderId="0" xfId="7" applyFont="1" applyAlignment="1" applyProtection="1">
      <alignment horizontal="right"/>
      <protection hidden="1"/>
    </xf>
    <xf numFmtId="0" fontId="30" fillId="0" borderId="0" xfId="0" applyFont="1" applyProtection="1">
      <protection hidden="1"/>
    </xf>
    <xf numFmtId="174" fontId="0" fillId="0" borderId="0" xfId="0" applyNumberFormat="1" applyProtection="1">
      <protection hidden="1"/>
    </xf>
    <xf numFmtId="1" fontId="0" fillId="0" borderId="0" xfId="0" applyNumberFormat="1" applyAlignment="1" applyProtection="1">
      <alignment horizontal="right"/>
      <protection hidden="1"/>
    </xf>
    <xf numFmtId="174" fontId="0" fillId="0" borderId="0" xfId="0" applyNumberFormat="1" applyBorder="1" applyProtection="1">
      <protection hidden="1"/>
    </xf>
    <xf numFmtId="1" fontId="0" fillId="0" borderId="0" xfId="0" applyNumberFormat="1" applyBorder="1" applyAlignment="1" applyProtection="1">
      <alignment horizontal="right"/>
      <protection hidden="1"/>
    </xf>
    <xf numFmtId="0" fontId="59" fillId="0" borderId="0" xfId="0" applyFont="1" applyFill="1" applyProtection="1">
      <protection hidden="1"/>
    </xf>
    <xf numFmtId="0" fontId="6" fillId="0" borderId="0" xfId="0" applyFont="1" applyFill="1" applyProtection="1">
      <protection hidden="1"/>
    </xf>
    <xf numFmtId="0" fontId="6" fillId="0" borderId="0" xfId="0" applyFont="1" applyFill="1" applyAlignment="1" applyProtection="1">
      <protection hidden="1"/>
    </xf>
    <xf numFmtId="0" fontId="6" fillId="0" borderId="0" xfId="0" applyFont="1" applyFill="1" applyAlignment="1" applyProtection="1">
      <alignment horizontal="right"/>
      <protection hidden="1"/>
    </xf>
    <xf numFmtId="0" fontId="60" fillId="0" borderId="0" xfId="0" applyFont="1" applyFill="1" applyAlignment="1" applyProtection="1">
      <alignment horizontal="right"/>
      <protection hidden="1"/>
    </xf>
    <xf numFmtId="0" fontId="6" fillId="0" borderId="6" xfId="0" applyFont="1" applyFill="1" applyBorder="1" applyProtection="1">
      <protection hidden="1"/>
    </xf>
    <xf numFmtId="0" fontId="6" fillId="0" borderId="11" xfId="0" applyFont="1" applyFill="1" applyBorder="1" applyAlignment="1" applyProtection="1">
      <alignment horizontal="right"/>
      <protection hidden="1"/>
    </xf>
    <xf numFmtId="9" fontId="6" fillId="0" borderId="0" xfId="0" applyNumberFormat="1" applyFont="1" applyFill="1" applyAlignment="1" applyProtection="1">
      <protection hidden="1"/>
    </xf>
    <xf numFmtId="175" fontId="6" fillId="0" borderId="0" xfId="4" applyNumberFormat="1" applyFont="1" applyFill="1" applyAlignment="1" applyProtection="1">
      <protection hidden="1"/>
    </xf>
    <xf numFmtId="0" fontId="0" fillId="0" borderId="0" xfId="0" applyFill="1" applyProtection="1">
      <protection hidden="1"/>
    </xf>
    <xf numFmtId="0" fontId="6" fillId="0" borderId="6" xfId="0" applyFont="1" applyFill="1" applyBorder="1" applyAlignment="1" applyProtection="1">
      <protection hidden="1"/>
    </xf>
    <xf numFmtId="0" fontId="10" fillId="0" borderId="0" xfId="0" applyFont="1" applyFill="1" applyProtection="1">
      <protection hidden="1"/>
    </xf>
    <xf numFmtId="0" fontId="10" fillId="0" borderId="0" xfId="0" applyFont="1" applyFill="1" applyBorder="1" applyProtection="1">
      <protection hidden="1"/>
    </xf>
    <xf numFmtId="0" fontId="6" fillId="0" borderId="2" xfId="0" applyFont="1" applyFill="1" applyBorder="1" applyProtection="1">
      <protection hidden="1"/>
    </xf>
    <xf numFmtId="0" fontId="6" fillId="0" borderId="2" xfId="0" applyNumberFormat="1" applyFont="1" applyFill="1" applyBorder="1" applyAlignment="1" applyProtection="1">
      <alignment horizontal="right"/>
      <protection hidden="1"/>
    </xf>
    <xf numFmtId="0" fontId="10" fillId="0" borderId="6" xfId="0" applyFont="1" applyFill="1" applyBorder="1" applyProtection="1">
      <protection hidden="1"/>
    </xf>
    <xf numFmtId="0" fontId="6" fillId="0" borderId="0" xfId="0" applyFont="1" applyFill="1" applyBorder="1" applyAlignment="1" applyProtection="1">
      <alignment wrapText="1"/>
      <protection hidden="1"/>
    </xf>
    <xf numFmtId="0" fontId="6" fillId="0" borderId="6" xfId="0" applyFont="1" applyFill="1" applyBorder="1" applyAlignment="1" applyProtection="1">
      <alignment horizontal="left"/>
      <protection hidden="1"/>
    </xf>
    <xf numFmtId="0" fontId="6" fillId="0" borderId="6" xfId="0" applyFont="1" applyFill="1" applyBorder="1" applyAlignment="1" applyProtection="1">
      <alignment horizontal="center"/>
      <protection hidden="1"/>
    </xf>
    <xf numFmtId="0" fontId="6" fillId="0" borderId="0" xfId="0" applyFont="1" applyFill="1" applyBorder="1" applyAlignment="1" applyProtection="1">
      <alignment horizontal="left"/>
      <protection hidden="1"/>
    </xf>
    <xf numFmtId="0" fontId="6" fillId="0" borderId="12" xfId="0" applyFont="1" applyFill="1" applyBorder="1" applyAlignment="1" applyProtection="1">
      <protection hidden="1"/>
    </xf>
    <xf numFmtId="0" fontId="6" fillId="0" borderId="0" xfId="0" applyFont="1" applyFill="1" applyAlignment="1" applyProtection="1">
      <alignment shrinkToFit="1"/>
      <protection hidden="1"/>
    </xf>
    <xf numFmtId="10" fontId="6" fillId="0" borderId="0" xfId="7" applyNumberFormat="1" applyFont="1" applyFill="1" applyAlignment="1" applyProtection="1">
      <alignment horizontal="right" shrinkToFit="1"/>
      <protection hidden="1"/>
    </xf>
    <xf numFmtId="0" fontId="6" fillId="0" borderId="9" xfId="0" applyFont="1" applyFill="1" applyBorder="1" applyAlignment="1" applyProtection="1">
      <protection hidden="1"/>
    </xf>
    <xf numFmtId="0" fontId="6" fillId="0" borderId="9" xfId="0" applyFont="1" applyFill="1" applyBorder="1" applyProtection="1">
      <protection hidden="1"/>
    </xf>
    <xf numFmtId="165" fontId="6" fillId="0" borderId="9" xfId="3" applyNumberFormat="1" applyFont="1" applyFill="1" applyBorder="1" applyAlignment="1" applyProtection="1">
      <protection hidden="1"/>
    </xf>
    <xf numFmtId="0" fontId="10" fillId="0" borderId="0" xfId="0" applyFont="1" applyFill="1" applyBorder="1" applyAlignment="1" applyProtection="1">
      <protection hidden="1"/>
    </xf>
    <xf numFmtId="0" fontId="10" fillId="0" borderId="0" xfId="0" applyFont="1" applyFill="1" applyAlignment="1" applyProtection="1">
      <protection hidden="1"/>
    </xf>
    <xf numFmtId="0" fontId="7" fillId="0" borderId="0" xfId="0" applyFont="1" applyFill="1" applyProtection="1">
      <protection hidden="1"/>
    </xf>
    <xf numFmtId="0" fontId="30" fillId="0" borderId="0" xfId="0" applyFont="1" applyAlignment="1">
      <alignment horizontal="right" shrinkToFit="1"/>
    </xf>
    <xf numFmtId="0" fontId="30" fillId="0" borderId="6" xfId="0" applyFont="1" applyBorder="1" applyAlignment="1">
      <alignment horizontal="right" shrinkToFit="1"/>
    </xf>
    <xf numFmtId="0" fontId="0" fillId="0" borderId="0" xfId="0" applyAlignment="1">
      <alignment horizontal="left" shrinkToFit="1"/>
    </xf>
    <xf numFmtId="10" fontId="0" fillId="0" borderId="0" xfId="7" applyNumberFormat="1" applyFont="1" applyAlignment="1">
      <alignment shrinkToFit="1"/>
    </xf>
    <xf numFmtId="165" fontId="0" fillId="0" borderId="0" xfId="3" applyNumberFormat="1" applyFont="1" applyBorder="1" applyAlignment="1">
      <alignment horizontal="right" shrinkToFit="1"/>
    </xf>
    <xf numFmtId="0" fontId="0" fillId="0" borderId="0" xfId="0" applyBorder="1" applyAlignment="1">
      <alignment horizontal="right" shrinkToFit="1"/>
    </xf>
    <xf numFmtId="0" fontId="0" fillId="0" borderId="6" xfId="0" applyBorder="1" applyAlignment="1">
      <alignment horizontal="left" shrinkToFit="1"/>
    </xf>
    <xf numFmtId="165" fontId="0" fillId="0" borderId="6" xfId="3" applyNumberFormat="1" applyFont="1" applyBorder="1" applyAlignment="1">
      <alignment horizontal="right" shrinkToFit="1"/>
    </xf>
    <xf numFmtId="10" fontId="0" fillId="0" borderId="6" xfId="7" applyNumberFormat="1" applyFont="1" applyBorder="1" applyAlignment="1">
      <alignment shrinkToFit="1"/>
    </xf>
    <xf numFmtId="165" fontId="0" fillId="2" borderId="6" xfId="3" applyNumberFormat="1" applyFont="1" applyFill="1" applyBorder="1" applyAlignment="1" applyProtection="1">
      <alignment shrinkToFit="1"/>
      <protection locked="0"/>
    </xf>
    <xf numFmtId="0" fontId="0" fillId="0" borderId="6" xfId="0" applyBorder="1" applyAlignment="1">
      <alignment horizontal="right" shrinkToFit="1"/>
    </xf>
    <xf numFmtId="165" fontId="30" fillId="0" borderId="0" xfId="3" applyNumberFormat="1" applyFont="1" applyAlignment="1">
      <alignment horizontal="right" shrinkToFit="1"/>
    </xf>
    <xf numFmtId="165" fontId="0" fillId="0" borderId="0" xfId="3" applyNumberFormat="1" applyFont="1" applyAlignment="1">
      <alignment horizontal="left" shrinkToFit="1"/>
    </xf>
    <xf numFmtId="165" fontId="0" fillId="0" borderId="9" xfId="3" applyNumberFormat="1" applyFont="1" applyBorder="1" applyAlignment="1">
      <alignment horizontal="left" shrinkToFit="1"/>
    </xf>
    <xf numFmtId="165" fontId="0" fillId="0" borderId="9" xfId="3" applyNumberFormat="1" applyFont="1" applyBorder="1" applyAlignment="1">
      <alignment horizontal="right" shrinkToFit="1"/>
    </xf>
    <xf numFmtId="10" fontId="0" fillId="0" borderId="9" xfId="7" applyNumberFormat="1" applyFont="1" applyBorder="1" applyAlignment="1">
      <alignment horizontal="right" shrinkToFit="1"/>
    </xf>
    <xf numFmtId="165" fontId="0" fillId="2" borderId="9" xfId="3" applyNumberFormat="1" applyFont="1" applyFill="1" applyBorder="1" applyAlignment="1" applyProtection="1">
      <alignment horizontal="right" shrinkToFit="1"/>
      <protection locked="0"/>
    </xf>
    <xf numFmtId="0" fontId="0" fillId="0" borderId="0" xfId="0" applyBorder="1" applyAlignment="1">
      <alignment horizontal="left" shrinkToFit="1"/>
    </xf>
    <xf numFmtId="10" fontId="0" fillId="0" borderId="0" xfId="7" applyNumberFormat="1" applyFont="1" applyBorder="1" applyAlignment="1">
      <alignment shrinkToFit="1"/>
    </xf>
    <xf numFmtId="165" fontId="0" fillId="0" borderId="0" xfId="3" applyNumberFormat="1" applyFont="1" applyBorder="1" applyAlignment="1">
      <alignment shrinkToFit="1"/>
    </xf>
    <xf numFmtId="0" fontId="46" fillId="0" borderId="14" xfId="0" applyFont="1" applyBorder="1" applyAlignment="1">
      <alignment horizontal="left" shrinkToFit="1"/>
    </xf>
    <xf numFmtId="165" fontId="46" fillId="0" borderId="14" xfId="3" applyNumberFormat="1" applyFont="1" applyBorder="1" applyAlignment="1">
      <alignment horizontal="right" shrinkToFit="1"/>
    </xf>
    <xf numFmtId="10" fontId="46" fillId="0" borderId="14" xfId="7" applyNumberFormat="1" applyFont="1" applyBorder="1" applyAlignment="1">
      <alignment horizontal="right" shrinkToFit="1"/>
    </xf>
    <xf numFmtId="0" fontId="46" fillId="0" borderId="14" xfId="0" applyFont="1" applyBorder="1" applyAlignment="1">
      <alignment horizontal="right" shrinkToFit="1"/>
    </xf>
    <xf numFmtId="0" fontId="46" fillId="0" borderId="45" xfId="0" applyFont="1" applyBorder="1" applyAlignment="1">
      <alignment horizontal="left" shrinkToFit="1"/>
    </xf>
    <xf numFmtId="165" fontId="46" fillId="0" borderId="45" xfId="3" applyNumberFormat="1" applyFont="1" applyBorder="1" applyAlignment="1">
      <alignment horizontal="right" shrinkToFit="1"/>
    </xf>
    <xf numFmtId="10" fontId="46" fillId="0" borderId="45" xfId="7" applyNumberFormat="1" applyFont="1" applyBorder="1" applyAlignment="1">
      <alignment horizontal="right" shrinkToFit="1"/>
    </xf>
    <xf numFmtId="165" fontId="46" fillId="0" borderId="0" xfId="3" applyNumberFormat="1" applyFont="1" applyBorder="1" applyAlignment="1">
      <alignment horizontal="right" shrinkToFit="1"/>
    </xf>
    <xf numFmtId="0" fontId="46" fillId="0" borderId="0" xfId="0" applyFont="1" applyBorder="1" applyAlignment="1">
      <alignment horizontal="right" shrinkToFit="1"/>
    </xf>
    <xf numFmtId="0" fontId="46" fillId="0" borderId="45" xfId="0" applyFont="1" applyBorder="1" applyAlignment="1">
      <alignment horizontal="right" shrinkToFit="1"/>
    </xf>
    <xf numFmtId="0" fontId="46" fillId="0" borderId="0" xfId="0" applyFont="1" applyAlignment="1">
      <alignment horizontal="left" shrinkToFit="1"/>
    </xf>
    <xf numFmtId="165" fontId="46" fillId="0" borderId="0" xfId="3" applyNumberFormat="1" applyFont="1" applyAlignment="1">
      <alignment horizontal="right" shrinkToFit="1"/>
    </xf>
    <xf numFmtId="10" fontId="46" fillId="0" borderId="0" xfId="7" applyNumberFormat="1" applyFont="1" applyAlignment="1">
      <alignment horizontal="right" shrinkToFit="1"/>
    </xf>
    <xf numFmtId="0" fontId="46" fillId="0" borderId="0" xfId="0" applyFont="1" applyAlignment="1">
      <alignment horizontal="right" shrinkToFit="1"/>
    </xf>
    <xf numFmtId="43" fontId="0" fillId="0" borderId="0" xfId="3" applyFont="1" applyAlignment="1">
      <alignment horizontal="left" shrinkToFit="1"/>
    </xf>
    <xf numFmtId="43" fontId="0" fillId="0" borderId="0" xfId="3" applyFont="1" applyAlignment="1">
      <alignment shrinkToFit="1"/>
    </xf>
    <xf numFmtId="43" fontId="0" fillId="0" borderId="0" xfId="3" applyFont="1" applyBorder="1" applyAlignment="1">
      <alignment horizontal="right" shrinkToFit="1"/>
    </xf>
    <xf numFmtId="0" fontId="0" fillId="0" borderId="0" xfId="0" applyAlignment="1">
      <alignment horizontal="left"/>
    </xf>
    <xf numFmtId="10" fontId="0" fillId="0" borderId="0" xfId="7" applyNumberFormat="1" applyFont="1"/>
    <xf numFmtId="0" fontId="0" fillId="0" borderId="0" xfId="0" applyBorder="1" applyAlignment="1">
      <alignment horizontal="right"/>
    </xf>
    <xf numFmtId="49" fontId="31" fillId="0" borderId="0" xfId="0" applyNumberFormat="1" applyFont="1" applyAlignment="1">
      <alignment horizontal="left"/>
    </xf>
    <xf numFmtId="165" fontId="30" fillId="0" borderId="0" xfId="3" applyNumberFormat="1" applyFont="1" applyFill="1" applyAlignment="1">
      <alignment horizontal="right"/>
    </xf>
    <xf numFmtId="165" fontId="30" fillId="0" borderId="0" xfId="3" applyNumberFormat="1" applyFont="1" applyAlignment="1">
      <alignment horizontal="right"/>
    </xf>
    <xf numFmtId="171" fontId="0" fillId="0" borderId="0" xfId="7" applyNumberFormat="1" applyFont="1" applyAlignment="1" applyProtection="1">
      <alignment horizontal="right"/>
      <protection hidden="1"/>
    </xf>
    <xf numFmtId="0" fontId="0" fillId="0" borderId="0" xfId="0" applyAlignment="1">
      <alignment horizontal="center"/>
    </xf>
    <xf numFmtId="0" fontId="0" fillId="3" borderId="29" xfId="0" applyFill="1" applyBorder="1" applyAlignment="1" applyProtection="1">
      <alignment horizontal="right"/>
      <protection locked="0"/>
    </xf>
    <xf numFmtId="0" fontId="0" fillId="3" borderId="21" xfId="0" applyFill="1" applyBorder="1" applyAlignment="1" applyProtection="1">
      <alignment horizontal="right"/>
      <protection locked="0"/>
    </xf>
    <xf numFmtId="0" fontId="0" fillId="0" borderId="0" xfId="0" applyFill="1" applyBorder="1" applyAlignment="1" applyProtection="1">
      <alignment horizontal="right"/>
      <protection locked="0"/>
    </xf>
    <xf numFmtId="172" fontId="0" fillId="3" borderId="29" xfId="0" applyNumberFormat="1" applyFill="1" applyBorder="1" applyAlignment="1" applyProtection="1">
      <alignment horizontal="right"/>
      <protection locked="0"/>
    </xf>
    <xf numFmtId="172" fontId="0" fillId="0" borderId="0" xfId="0" applyNumberFormat="1" applyBorder="1"/>
    <xf numFmtId="172" fontId="0" fillId="3" borderId="22" xfId="0" applyNumberFormat="1" applyFill="1" applyBorder="1" applyAlignment="1" applyProtection="1">
      <alignment horizontal="right"/>
      <protection locked="0"/>
    </xf>
    <xf numFmtId="0" fontId="0" fillId="2" borderId="29" xfId="0" applyFill="1" applyBorder="1" applyAlignment="1" applyProtection="1">
      <alignment horizontal="right" wrapText="1"/>
      <protection locked="0"/>
    </xf>
    <xf numFmtId="0" fontId="0" fillId="0" borderId="0" xfId="0" applyBorder="1" applyAlignment="1">
      <alignment horizontal="right" wrapText="1"/>
    </xf>
    <xf numFmtId="171" fontId="0" fillId="0" borderId="29" xfId="7" applyNumberFormat="1" applyFont="1" applyBorder="1" applyAlignment="1" applyProtection="1">
      <alignment horizontal="right"/>
      <protection hidden="1"/>
    </xf>
    <xf numFmtId="165" fontId="0" fillId="2" borderId="29" xfId="3" applyNumberFormat="1" applyFont="1" applyFill="1" applyBorder="1" applyAlignment="1" applyProtection="1">
      <alignment horizontal="right"/>
      <protection locked="0"/>
    </xf>
    <xf numFmtId="0" fontId="0" fillId="0" borderId="9" xfId="0" applyBorder="1"/>
    <xf numFmtId="171" fontId="0" fillId="0" borderId="29" xfId="7" applyNumberFormat="1" applyFont="1" applyBorder="1" applyAlignment="1">
      <alignment horizontal="right"/>
    </xf>
    <xf numFmtId="171" fontId="0" fillId="0" borderId="33" xfId="7" applyNumberFormat="1" applyFont="1" applyBorder="1" applyAlignment="1">
      <alignment horizontal="right"/>
    </xf>
    <xf numFmtId="165" fontId="0" fillId="2" borderId="22" xfId="3" applyNumberFormat="1" applyFont="1" applyFill="1" applyBorder="1" applyAlignment="1" applyProtection="1">
      <alignment horizontal="right"/>
      <protection locked="0"/>
    </xf>
    <xf numFmtId="165" fontId="0" fillId="2" borderId="35" xfId="3" applyNumberFormat="1" applyFont="1" applyFill="1" applyBorder="1" applyAlignment="1" applyProtection="1">
      <alignment horizontal="right"/>
      <protection locked="0"/>
    </xf>
    <xf numFmtId="165" fontId="0" fillId="0" borderId="29" xfId="3" applyNumberFormat="1" applyFont="1" applyFill="1" applyBorder="1" applyAlignment="1">
      <alignment horizontal="right"/>
    </xf>
    <xf numFmtId="165" fontId="0" fillId="0" borderId="33" xfId="3" applyNumberFormat="1" applyFont="1" applyFill="1" applyBorder="1" applyAlignment="1">
      <alignment horizontal="right"/>
    </xf>
    <xf numFmtId="0" fontId="31" fillId="0" borderId="0" xfId="0" applyNumberFormat="1" applyFont="1" applyAlignment="1">
      <alignment horizontal="left"/>
    </xf>
    <xf numFmtId="10" fontId="0" fillId="0" borderId="0" xfId="7" applyNumberFormat="1" applyFont="1" applyAlignment="1">
      <alignment horizontal="right"/>
    </xf>
    <xf numFmtId="178" fontId="0" fillId="0" borderId="0" xfId="7" applyNumberFormat="1" applyFont="1" applyAlignment="1">
      <alignment horizontal="right"/>
    </xf>
    <xf numFmtId="0" fontId="0" fillId="0" borderId="0" xfId="0" applyFill="1" applyBorder="1" applyAlignment="1">
      <alignment horizontal="right"/>
    </xf>
    <xf numFmtId="0" fontId="47" fillId="0" borderId="0" xfId="0" applyFont="1"/>
    <xf numFmtId="10" fontId="47" fillId="0" borderId="0" xfId="7" applyNumberFormat="1" applyFont="1" applyAlignment="1">
      <alignment horizontal="right"/>
    </xf>
    <xf numFmtId="165" fontId="47" fillId="0" borderId="0" xfId="3" applyNumberFormat="1" applyFont="1" applyAlignment="1">
      <alignment horizontal="right"/>
    </xf>
    <xf numFmtId="0" fontId="47" fillId="0" borderId="0" xfId="0" applyFont="1" applyAlignment="1">
      <alignment horizontal="right"/>
    </xf>
    <xf numFmtId="178" fontId="47" fillId="0" borderId="0" xfId="7" applyNumberFormat="1" applyFont="1" applyAlignment="1">
      <alignment horizontal="right"/>
    </xf>
    <xf numFmtId="0" fontId="47" fillId="0" borderId="0" xfId="0" applyFont="1" applyFill="1" applyBorder="1"/>
    <xf numFmtId="165" fontId="0" fillId="0" borderId="0" xfId="3" applyNumberFormat="1" applyFont="1" applyBorder="1" applyAlignment="1">
      <alignment horizontal="right"/>
    </xf>
    <xf numFmtId="0" fontId="0" fillId="0" borderId="33" xfId="0" applyBorder="1" applyAlignment="1">
      <alignment horizontal="left" wrapText="1"/>
    </xf>
    <xf numFmtId="10" fontId="0" fillId="0" borderId="15" xfId="7" applyNumberFormat="1" applyFont="1" applyBorder="1" applyAlignment="1" applyProtection="1">
      <alignment horizontal="right" shrinkToFit="1"/>
      <protection hidden="1"/>
    </xf>
    <xf numFmtId="10" fontId="0" fillId="0" borderId="29" xfId="7" applyNumberFormat="1" applyFont="1" applyBorder="1" applyAlignment="1" applyProtection="1">
      <alignment horizontal="right" shrinkToFit="1"/>
      <protection hidden="1"/>
    </xf>
    <xf numFmtId="10" fontId="0" fillId="0" borderId="33" xfId="7" applyNumberFormat="1" applyFont="1" applyBorder="1" applyAlignment="1">
      <alignment horizontal="left" wrapText="1"/>
    </xf>
    <xf numFmtId="10" fontId="0" fillId="0" borderId="12" xfId="7" applyNumberFormat="1" applyFont="1" applyBorder="1" applyAlignment="1">
      <alignment horizontal="left" wrapText="1"/>
    </xf>
    <xf numFmtId="10" fontId="0" fillId="0" borderId="12" xfId="7" applyNumberFormat="1" applyFont="1" applyBorder="1" applyAlignment="1" applyProtection="1">
      <alignment horizontal="right" shrinkToFit="1"/>
      <protection hidden="1"/>
    </xf>
    <xf numFmtId="0" fontId="34" fillId="0" borderId="0" xfId="0" applyFont="1" applyFill="1" applyBorder="1"/>
    <xf numFmtId="165" fontId="0" fillId="0" borderId="35" xfId="3" applyNumberFormat="1" applyFont="1" applyBorder="1" applyAlignment="1">
      <alignment horizontal="left" wrapText="1"/>
    </xf>
    <xf numFmtId="165" fontId="0" fillId="0" borderId="57" xfId="3" applyNumberFormat="1" applyFont="1" applyBorder="1" applyAlignment="1">
      <alignment shrinkToFit="1"/>
    </xf>
    <xf numFmtId="165" fontId="0" fillId="0" borderId="11" xfId="3" applyNumberFormat="1" applyFont="1" applyBorder="1" applyAlignment="1">
      <alignment horizontal="right" shrinkToFit="1"/>
    </xf>
    <xf numFmtId="165" fontId="0" fillId="0" borderId="22" xfId="3" applyNumberFormat="1" applyFont="1" applyBorder="1" applyAlignment="1">
      <alignment horizontal="right" shrinkToFit="1"/>
    </xf>
    <xf numFmtId="165" fontId="0" fillId="0" borderId="34" xfId="3" applyNumberFormat="1" applyFont="1" applyBorder="1" applyAlignment="1">
      <alignment horizontal="left" wrapText="1"/>
    </xf>
    <xf numFmtId="165" fontId="4" fillId="0" borderId="56" xfId="3" applyNumberFormat="1" applyFont="1" applyFill="1" applyBorder="1" applyAlignment="1">
      <alignment horizontal="right" shrinkToFit="1"/>
    </xf>
    <xf numFmtId="165" fontId="0" fillId="0" borderId="33" xfId="3" applyNumberFormat="1" applyFont="1" applyBorder="1" applyAlignment="1">
      <alignment horizontal="left" wrapText="1"/>
    </xf>
    <xf numFmtId="0" fontId="0" fillId="0" borderId="58" xfId="0" applyBorder="1" applyAlignment="1">
      <alignment horizontal="left" wrapText="1"/>
    </xf>
    <xf numFmtId="10" fontId="0" fillId="0" borderId="59" xfId="0" applyNumberFormat="1" applyBorder="1" applyAlignment="1">
      <alignment horizontal="right" shrinkToFit="1"/>
    </xf>
    <xf numFmtId="10" fontId="0" fillId="0" borderId="60" xfId="0" applyNumberFormat="1" applyBorder="1" applyAlignment="1">
      <alignment horizontal="right" shrinkToFit="1"/>
    </xf>
    <xf numFmtId="10" fontId="0" fillId="0" borderId="31" xfId="7" applyNumberFormat="1" applyFont="1" applyBorder="1" applyAlignment="1">
      <alignment horizontal="right" shrinkToFit="1"/>
    </xf>
    <xf numFmtId="165" fontId="34" fillId="0" borderId="0" xfId="3" applyNumberFormat="1" applyFont="1" applyFill="1" applyBorder="1"/>
    <xf numFmtId="165" fontId="0" fillId="0" borderId="11" xfId="3" applyNumberFormat="1" applyFont="1" applyBorder="1" applyAlignment="1" applyProtection="1">
      <alignment horizontal="right" shrinkToFit="1"/>
      <protection locked="0"/>
    </xf>
    <xf numFmtId="165" fontId="0" fillId="0" borderId="22" xfId="3" applyNumberFormat="1" applyFont="1" applyBorder="1" applyAlignment="1" applyProtection="1">
      <alignment horizontal="right" shrinkToFit="1"/>
      <protection locked="0"/>
    </xf>
    <xf numFmtId="165" fontId="0" fillId="0" borderId="15" xfId="3" applyNumberFormat="1" applyFont="1" applyBorder="1" applyAlignment="1" applyProtection="1">
      <alignment horizontal="right" shrinkToFit="1"/>
      <protection locked="0"/>
    </xf>
    <xf numFmtId="165" fontId="0" fillId="0" borderId="29" xfId="3" applyNumberFormat="1" applyFont="1" applyBorder="1" applyAlignment="1" applyProtection="1">
      <alignment horizontal="right" shrinkToFit="1"/>
      <protection locked="0"/>
    </xf>
    <xf numFmtId="10" fontId="0" fillId="0" borderId="15" xfId="7" applyNumberFormat="1" applyFont="1" applyBorder="1" applyAlignment="1" applyProtection="1">
      <alignment horizontal="right" shrinkToFit="1"/>
      <protection locked="0"/>
    </xf>
    <xf numFmtId="10" fontId="0" fillId="0" borderId="29" xfId="7" applyNumberFormat="1" applyFont="1" applyBorder="1" applyAlignment="1" applyProtection="1">
      <alignment horizontal="right" shrinkToFit="1"/>
      <protection locked="0"/>
    </xf>
    <xf numFmtId="0" fontId="0" fillId="0" borderId="60" xfId="0" applyBorder="1" applyAlignment="1" applyProtection="1">
      <alignment horizontal="right" shrinkToFit="1"/>
      <protection locked="0"/>
    </xf>
    <xf numFmtId="0" fontId="0" fillId="0" borderId="31" xfId="0" applyBorder="1" applyAlignment="1" applyProtection="1">
      <alignment horizontal="right" shrinkToFit="1"/>
      <protection locked="0"/>
    </xf>
    <xf numFmtId="10" fontId="0" fillId="0" borderId="0" xfId="7" applyNumberFormat="1" applyFont="1" applyAlignment="1">
      <alignment horizontal="right" shrinkToFit="1"/>
    </xf>
    <xf numFmtId="178" fontId="0" fillId="0" borderId="0" xfId="7" applyNumberFormat="1" applyFont="1" applyAlignment="1">
      <alignment horizontal="right" shrinkToFit="1"/>
    </xf>
    <xf numFmtId="0" fontId="0" fillId="0" borderId="33" xfId="0" applyBorder="1" applyAlignment="1">
      <alignment horizontal="left"/>
    </xf>
    <xf numFmtId="0" fontId="0" fillId="0" borderId="58" xfId="0" applyBorder="1" applyAlignment="1">
      <alignment horizontal="left"/>
    </xf>
    <xf numFmtId="165" fontId="0" fillId="0" borderId="60" xfId="0" applyNumberFormat="1" applyBorder="1" applyAlignment="1">
      <alignment shrinkToFit="1"/>
    </xf>
    <xf numFmtId="165" fontId="0" fillId="0" borderId="31" xfId="0" applyNumberFormat="1" applyBorder="1" applyAlignment="1">
      <alignment shrinkToFit="1"/>
    </xf>
    <xf numFmtId="0" fontId="0" fillId="0" borderId="35" xfId="0" applyBorder="1" applyAlignment="1">
      <alignment horizontal="left"/>
    </xf>
    <xf numFmtId="176" fontId="0" fillId="0" borderId="33" xfId="3" applyNumberFormat="1" applyFont="1" applyBorder="1" applyAlignment="1">
      <alignment horizontal="left"/>
    </xf>
    <xf numFmtId="176" fontId="0" fillId="0" borderId="0" xfId="3" applyNumberFormat="1" applyFont="1" applyFill="1" applyBorder="1"/>
    <xf numFmtId="165" fontId="0" fillId="0" borderId="33" xfId="3" applyNumberFormat="1" applyFont="1" applyBorder="1" applyAlignment="1">
      <alignment horizontal="left"/>
    </xf>
    <xf numFmtId="165" fontId="0" fillId="0" borderId="15" xfId="3" applyNumberFormat="1" applyFont="1" applyBorder="1" applyAlignment="1">
      <alignment shrinkToFit="1"/>
    </xf>
    <xf numFmtId="165" fontId="0" fillId="0" borderId="29" xfId="3" applyNumberFormat="1" applyFont="1" applyBorder="1" applyAlignment="1">
      <alignment shrinkToFit="1"/>
    </xf>
    <xf numFmtId="165" fontId="0" fillId="0" borderId="0" xfId="3" applyNumberFormat="1" applyFont="1" applyFill="1" applyBorder="1"/>
    <xf numFmtId="9" fontId="0" fillId="0" borderId="15" xfId="0" applyNumberFormat="1" applyBorder="1" applyAlignment="1">
      <alignment shrinkToFit="1"/>
    </xf>
    <xf numFmtId="9" fontId="0" fillId="0" borderId="29" xfId="0" applyNumberFormat="1" applyBorder="1" applyAlignment="1">
      <alignment shrinkToFit="1"/>
    </xf>
    <xf numFmtId="165" fontId="0" fillId="0" borderId="58" xfId="3" applyNumberFormat="1" applyFont="1" applyBorder="1" applyAlignment="1">
      <alignment horizontal="left"/>
    </xf>
    <xf numFmtId="179" fontId="0" fillId="0" borderId="33" xfId="3" applyNumberFormat="1" applyFont="1" applyBorder="1" applyAlignment="1">
      <alignment horizontal="left"/>
    </xf>
    <xf numFmtId="179" fontId="0" fillId="0" borderId="15" xfId="3" applyNumberFormat="1" applyFont="1" applyBorder="1" applyAlignment="1">
      <alignment shrinkToFit="1"/>
    </xf>
    <xf numFmtId="179" fontId="0" fillId="0" borderId="29" xfId="3" applyNumberFormat="1" applyFont="1" applyBorder="1" applyAlignment="1">
      <alignment shrinkToFit="1"/>
    </xf>
    <xf numFmtId="179" fontId="0" fillId="0" borderId="0" xfId="3" applyNumberFormat="1" applyFont="1" applyFill="1" applyBorder="1"/>
    <xf numFmtId="0" fontId="61" fillId="0" borderId="0" xfId="0" applyFont="1"/>
    <xf numFmtId="0" fontId="61" fillId="0" borderId="0" xfId="0" applyFont="1" applyAlignment="1">
      <alignment horizontal="right"/>
    </xf>
    <xf numFmtId="49" fontId="4" fillId="0" borderId="0" xfId="5" applyNumberFormat="1" applyFont="1" applyAlignment="1" applyProtection="1"/>
    <xf numFmtId="9" fontId="0" fillId="0" borderId="0" xfId="0" applyNumberFormat="1" applyAlignment="1">
      <alignment horizontal="right"/>
    </xf>
    <xf numFmtId="0" fontId="63" fillId="0" borderId="1" xfId="6" applyFont="1" applyFill="1" applyBorder="1" applyAlignment="1">
      <alignment wrapText="1"/>
    </xf>
    <xf numFmtId="0" fontId="63" fillId="6" borderId="66" xfId="6" applyFont="1" applyFill="1" applyBorder="1" applyAlignment="1">
      <alignment horizontal="center"/>
    </xf>
    <xf numFmtId="0" fontId="63" fillId="0" borderId="1" xfId="6" applyFont="1" applyFill="1" applyBorder="1" applyAlignment="1">
      <alignment horizontal="right" wrapText="1"/>
    </xf>
    <xf numFmtId="9" fontId="0" fillId="0" borderId="0" xfId="0" applyNumberFormat="1"/>
    <xf numFmtId="49" fontId="4" fillId="0" borderId="0" xfId="0" applyNumberFormat="1" applyFont="1"/>
    <xf numFmtId="10" fontId="0" fillId="0" borderId="0" xfId="0" applyNumberFormat="1"/>
    <xf numFmtId="1" fontId="4" fillId="0" borderId="0" xfId="3" applyNumberFormat="1"/>
    <xf numFmtId="165" fontId="4" fillId="0" borderId="0" xfId="3" applyNumberFormat="1"/>
    <xf numFmtId="0" fontId="64" fillId="7" borderId="0" xfId="0" applyFont="1" applyFill="1" applyAlignment="1">
      <alignment horizontal="left"/>
    </xf>
    <xf numFmtId="0" fontId="0" fillId="0" borderId="0" xfId="0" applyAlignment="1" applyProtection="1">
      <alignment horizontal="right"/>
    </xf>
    <xf numFmtId="0" fontId="0" fillId="0" borderId="0" xfId="0" applyProtection="1"/>
    <xf numFmtId="0" fontId="65" fillId="0" borderId="0" xfId="0" applyFont="1" applyAlignment="1" applyProtection="1">
      <alignment horizontal="right"/>
    </xf>
    <xf numFmtId="0" fontId="65" fillId="0" borderId="0" xfId="0" applyFont="1" applyProtection="1"/>
    <xf numFmtId="165" fontId="0" fillId="0" borderId="0" xfId="3" applyNumberFormat="1" applyFont="1" applyAlignment="1" applyProtection="1">
      <alignment horizontal="right"/>
    </xf>
    <xf numFmtId="0" fontId="0" fillId="0" borderId="6" xfId="0" applyFill="1" applyBorder="1"/>
    <xf numFmtId="165" fontId="0" fillId="0" borderId="4" xfId="3" applyNumberFormat="1" applyFont="1" applyBorder="1"/>
    <xf numFmtId="165" fontId="30" fillId="0" borderId="0" xfId="3" applyNumberFormat="1" applyFont="1" applyBorder="1"/>
    <xf numFmtId="0" fontId="18" fillId="0" borderId="0" xfId="0" applyFont="1" applyBorder="1"/>
    <xf numFmtId="0" fontId="42" fillId="0" borderId="6" xfId="0" applyFont="1" applyBorder="1"/>
    <xf numFmtId="9" fontId="42" fillId="0" borderId="6" xfId="7" applyFont="1" applyBorder="1"/>
    <xf numFmtId="165" fontId="0" fillId="0" borderId="13" xfId="3" applyNumberFormat="1" applyFont="1" applyBorder="1"/>
    <xf numFmtId="9" fontId="42" fillId="0" borderId="11" xfId="7" applyFont="1" applyBorder="1"/>
    <xf numFmtId="0" fontId="42" fillId="0" borderId="46" xfId="0" applyFont="1" applyBorder="1"/>
    <xf numFmtId="0" fontId="0" fillId="0" borderId="20" xfId="0" applyBorder="1"/>
    <xf numFmtId="0" fontId="0" fillId="0" borderId="2" xfId="0" applyBorder="1"/>
    <xf numFmtId="43" fontId="0" fillId="0" borderId="2" xfId="0" applyNumberFormat="1" applyBorder="1"/>
    <xf numFmtId="43" fontId="0" fillId="0" borderId="67" xfId="0" applyNumberFormat="1" applyBorder="1"/>
    <xf numFmtId="0" fontId="0" fillId="0" borderId="8" xfId="0" applyBorder="1"/>
    <xf numFmtId="0" fontId="6" fillId="0" borderId="8" xfId="0" applyFont="1" applyFill="1" applyBorder="1" applyAlignment="1" applyProtection="1">
      <protection hidden="1"/>
    </xf>
    <xf numFmtId="0" fontId="0" fillId="0" borderId="0" xfId="0" applyBorder="1" applyAlignment="1">
      <alignment shrinkToFit="1"/>
    </xf>
    <xf numFmtId="165" fontId="0" fillId="0" borderId="32" xfId="3" applyNumberFormat="1" applyFont="1" applyBorder="1" applyAlignment="1">
      <alignment shrinkToFit="1"/>
    </xf>
    <xf numFmtId="165" fontId="0" fillId="0" borderId="9" xfId="3" applyNumberFormat="1" applyFont="1" applyBorder="1" applyAlignment="1">
      <alignment shrinkToFit="1"/>
    </xf>
    <xf numFmtId="165" fontId="0" fillId="0" borderId="68" xfId="3" applyNumberFormat="1" applyFont="1" applyBorder="1" applyAlignment="1">
      <alignment shrinkToFit="1"/>
    </xf>
    <xf numFmtId="0" fontId="6" fillId="0" borderId="0" xfId="0" applyFont="1" applyAlignment="1">
      <alignment horizontal="left"/>
    </xf>
    <xf numFmtId="0" fontId="10" fillId="0" borderId="20" xfId="0" applyFont="1" applyFill="1" applyBorder="1" applyAlignment="1" applyProtection="1">
      <protection hidden="1"/>
    </xf>
    <xf numFmtId="0" fontId="42" fillId="0" borderId="8" xfId="0" applyFont="1" applyBorder="1"/>
    <xf numFmtId="0" fontId="42" fillId="0" borderId="9" xfId="0" applyFont="1" applyBorder="1"/>
    <xf numFmtId="165" fontId="42" fillId="0" borderId="9" xfId="3" applyNumberFormat="1" applyFont="1" applyBorder="1"/>
    <xf numFmtId="165" fontId="42" fillId="0" borderId="70" xfId="3" applyNumberFormat="1" applyFont="1" applyBorder="1"/>
    <xf numFmtId="43" fontId="0" fillId="0" borderId="13" xfId="3" applyFont="1" applyBorder="1" applyAlignment="1">
      <alignment horizontal="right" shrinkToFit="1"/>
    </xf>
    <xf numFmtId="43" fontId="0" fillId="0" borderId="70" xfId="3" applyFont="1" applyBorder="1" applyAlignment="1">
      <alignment horizontal="right" shrinkToFit="1"/>
    </xf>
    <xf numFmtId="43" fontId="0" fillId="0" borderId="3" xfId="3" applyFont="1" applyBorder="1" applyAlignment="1">
      <alignment horizontal="right" shrinkToFit="1"/>
    </xf>
    <xf numFmtId="43" fontId="0" fillId="0" borderId="10" xfId="3" applyFont="1" applyBorder="1" applyAlignment="1">
      <alignment horizontal="right" shrinkToFit="1"/>
    </xf>
    <xf numFmtId="165" fontId="0" fillId="0" borderId="0" xfId="3" applyNumberFormat="1" applyFont="1" applyBorder="1" applyAlignment="1" applyProtection="1">
      <alignment shrinkToFit="1"/>
      <protection locked="0"/>
    </xf>
    <xf numFmtId="165" fontId="0" fillId="0" borderId="9" xfId="3" applyNumberFormat="1" applyFont="1" applyBorder="1" applyAlignment="1" applyProtection="1">
      <alignment shrinkToFit="1"/>
      <protection locked="0"/>
    </xf>
    <xf numFmtId="165" fontId="6" fillId="0" borderId="9" xfId="3" applyNumberFormat="1" applyFont="1" applyFill="1" applyBorder="1" applyAlignment="1" applyProtection="1">
      <alignment shrinkToFit="1"/>
      <protection locked="0" hidden="1"/>
    </xf>
    <xf numFmtId="0" fontId="67" fillId="0" borderId="0" xfId="0" applyFont="1" applyFill="1" applyProtection="1">
      <protection hidden="1"/>
    </xf>
    <xf numFmtId="0" fontId="34" fillId="0" borderId="0" xfId="0" applyFont="1" applyFill="1" applyProtection="1">
      <protection hidden="1"/>
    </xf>
    <xf numFmtId="0" fontId="68" fillId="0" borderId="0" xfId="0" applyFont="1" applyFill="1" applyAlignment="1" applyProtection="1">
      <alignment horizontal="right"/>
      <protection hidden="1"/>
    </xf>
    <xf numFmtId="165" fontId="0" fillId="3" borderId="0" xfId="3" applyNumberFormat="1" applyFont="1" applyFill="1" applyAlignment="1" applyProtection="1">
      <alignment shrinkToFit="1"/>
      <protection locked="0"/>
    </xf>
    <xf numFmtId="43" fontId="10" fillId="0" borderId="14" xfId="3" applyFont="1" applyBorder="1"/>
    <xf numFmtId="0" fontId="5" fillId="0" borderId="0" xfId="0" applyFont="1" applyFill="1" applyProtection="1"/>
    <xf numFmtId="0" fontId="6" fillId="0" borderId="0" xfId="0" applyFont="1" applyFill="1" applyProtection="1"/>
    <xf numFmtId="0" fontId="7" fillId="0" borderId="0" xfId="0" applyFont="1" applyFill="1" applyBorder="1" applyAlignment="1" applyProtection="1">
      <alignment horizontal="center"/>
    </xf>
    <xf numFmtId="0" fontId="5" fillId="0" borderId="17" xfId="0" applyFont="1" applyFill="1" applyBorder="1" applyProtection="1"/>
    <xf numFmtId="0" fontId="6" fillId="0" borderId="18" xfId="0" applyFont="1" applyFill="1" applyBorder="1" applyProtection="1"/>
    <xf numFmtId="0" fontId="8" fillId="0" borderId="18" xfId="0" applyFont="1" applyFill="1" applyBorder="1" applyProtection="1"/>
    <xf numFmtId="0" fontId="9" fillId="0" borderId="18" xfId="0" applyFont="1" applyFill="1" applyBorder="1" applyAlignment="1" applyProtection="1">
      <alignment horizontal="center"/>
    </xf>
    <xf numFmtId="0" fontId="6" fillId="0" borderId="19" xfId="0" applyFont="1" applyFill="1" applyBorder="1" applyAlignment="1" applyProtection="1">
      <alignment horizontal="right"/>
    </xf>
    <xf numFmtId="0" fontId="10" fillId="0" borderId="18" xfId="0" applyFont="1" applyFill="1" applyBorder="1" applyProtection="1"/>
    <xf numFmtId="0" fontId="5" fillId="0" borderId="0" xfId="0" applyFont="1" applyFill="1" applyAlignment="1" applyProtection="1">
      <alignment horizontal="left"/>
    </xf>
    <xf numFmtId="0" fontId="5" fillId="0" borderId="0" xfId="0" applyFont="1" applyFill="1" applyAlignment="1" applyProtection="1">
      <alignment horizontal="center"/>
    </xf>
    <xf numFmtId="0" fontId="5" fillId="0" borderId="5" xfId="0" applyFont="1" applyFill="1" applyBorder="1" applyProtection="1"/>
    <xf numFmtId="0" fontId="8" fillId="0" borderId="0" xfId="0" applyFont="1" applyFill="1" applyBorder="1" applyProtection="1"/>
    <xf numFmtId="0" fontId="8" fillId="0" borderId="0" xfId="0" applyFont="1" applyFill="1" applyBorder="1" applyAlignment="1" applyProtection="1"/>
    <xf numFmtId="0" fontId="6" fillId="0" borderId="0" xfId="0" applyFont="1" applyFill="1" applyBorder="1" applyAlignment="1" applyProtection="1">
      <alignment horizontal="left"/>
    </xf>
    <xf numFmtId="0" fontId="9" fillId="0" borderId="19" xfId="0" applyFont="1" applyFill="1" applyBorder="1" applyAlignment="1" applyProtection="1">
      <alignment horizontal="center" shrinkToFit="1"/>
    </xf>
    <xf numFmtId="0" fontId="6" fillId="0" borderId="5" xfId="0" applyFont="1" applyFill="1" applyBorder="1" applyProtection="1"/>
    <xf numFmtId="165" fontId="6" fillId="0" borderId="0" xfId="3" applyNumberFormat="1" applyFont="1" applyFill="1" applyBorder="1" applyAlignment="1" applyProtection="1">
      <alignment horizontal="center"/>
    </xf>
    <xf numFmtId="0" fontId="6" fillId="0" borderId="6" xfId="0" applyFont="1" applyFill="1" applyBorder="1" applyProtection="1"/>
    <xf numFmtId="0" fontId="6" fillId="0" borderId="6" xfId="0" applyFont="1" applyFill="1" applyBorder="1" applyAlignment="1" applyProtection="1">
      <alignment horizontal="center"/>
    </xf>
    <xf numFmtId="0" fontId="5" fillId="0" borderId="20" xfId="0" applyFont="1" applyFill="1" applyBorder="1" applyProtection="1"/>
    <xf numFmtId="0" fontId="10" fillId="0" borderId="2" xfId="0" applyFont="1" applyFill="1" applyBorder="1" applyProtection="1"/>
    <xf numFmtId="165" fontId="6" fillId="0" borderId="2" xfId="3" applyNumberFormat="1" applyFont="1" applyFill="1" applyBorder="1" applyAlignment="1" applyProtection="1">
      <alignment horizontal="left"/>
    </xf>
    <xf numFmtId="0" fontId="6" fillId="0" borderId="2" xfId="0" applyFont="1" applyFill="1" applyBorder="1" applyProtection="1"/>
    <xf numFmtId="0" fontId="8" fillId="0" borderId="6" xfId="0" applyFont="1" applyFill="1" applyBorder="1" applyProtection="1"/>
    <xf numFmtId="0" fontId="8" fillId="0" borderId="2" xfId="0" applyFont="1" applyFill="1" applyBorder="1" applyProtection="1"/>
    <xf numFmtId="0" fontId="8" fillId="0" borderId="18" xfId="0" applyFont="1" applyFill="1" applyBorder="1" applyAlignment="1" applyProtection="1"/>
    <xf numFmtId="165" fontId="6" fillId="0" borderId="18" xfId="3" applyNumberFormat="1" applyFont="1" applyFill="1" applyBorder="1" applyAlignment="1" applyProtection="1">
      <alignment horizontal="left"/>
    </xf>
    <xf numFmtId="3" fontId="9" fillId="0" borderId="18" xfId="3" applyNumberFormat="1" applyFont="1" applyFill="1" applyBorder="1" applyAlignment="1" applyProtection="1">
      <alignment horizontal="center"/>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center"/>
    </xf>
    <xf numFmtId="0" fontId="7" fillId="0" borderId="0" xfId="0" applyFont="1" applyFill="1" applyBorder="1" applyAlignment="1" applyProtection="1"/>
    <xf numFmtId="0" fontId="5" fillId="0" borderId="0" xfId="0" applyFont="1" applyFill="1" applyBorder="1" applyProtection="1"/>
    <xf numFmtId="165" fontId="10" fillId="0" borderId="0" xfId="3" applyNumberFormat="1" applyFont="1" applyFill="1" applyBorder="1" applyProtection="1"/>
    <xf numFmtId="0" fontId="8" fillId="0" borderId="18" xfId="0" applyFont="1" applyFill="1" applyBorder="1" applyAlignment="1" applyProtection="1">
      <alignment horizontal="center"/>
    </xf>
    <xf numFmtId="0" fontId="5" fillId="0" borderId="23" xfId="0" applyFont="1" applyFill="1" applyBorder="1" applyProtection="1"/>
    <xf numFmtId="0" fontId="10" fillId="0" borderId="24" xfId="0" applyFont="1" applyFill="1" applyBorder="1" applyProtection="1"/>
    <xf numFmtId="0" fontId="6" fillId="0" borderId="24" xfId="0" applyFont="1" applyFill="1" applyBorder="1" applyProtection="1"/>
    <xf numFmtId="0" fontId="8" fillId="0" borderId="24" xfId="0" applyFont="1" applyFill="1" applyBorder="1" applyProtection="1"/>
    <xf numFmtId="0" fontId="9" fillId="0" borderId="24" xfId="0" applyFont="1" applyFill="1" applyBorder="1" applyAlignment="1" applyProtection="1">
      <alignment horizontal="center"/>
      <protection locked="0"/>
    </xf>
    <xf numFmtId="165" fontId="10" fillId="0" borderId="47" xfId="0" applyNumberFormat="1" applyFont="1" applyFill="1" applyBorder="1" applyAlignment="1" applyProtection="1">
      <alignment horizontal="right"/>
    </xf>
    <xf numFmtId="0" fontId="8" fillId="0" borderId="0" xfId="0" applyFont="1" applyFill="1" applyProtection="1"/>
    <xf numFmtId="0" fontId="9" fillId="0" borderId="0" xfId="0" applyFont="1" applyFill="1" applyAlignment="1" applyProtection="1">
      <alignment horizontal="center"/>
    </xf>
    <xf numFmtId="0" fontId="6" fillId="0" borderId="0" xfId="0" applyFont="1" applyFill="1" applyAlignment="1" applyProtection="1">
      <alignment horizontal="right"/>
    </xf>
    <xf numFmtId="167" fontId="5" fillId="0" borderId="0" xfId="0" applyNumberFormat="1" applyFont="1" applyFill="1" applyBorder="1" applyProtection="1"/>
    <xf numFmtId="0" fontId="5" fillId="0" borderId="17" xfId="0" applyFont="1" applyFill="1" applyBorder="1" applyProtection="1">
      <protection hidden="1"/>
    </xf>
    <xf numFmtId="0" fontId="6" fillId="0" borderId="18" xfId="0" applyFont="1" applyFill="1" applyBorder="1" applyProtection="1">
      <protection hidden="1"/>
    </xf>
    <xf numFmtId="0" fontId="8" fillId="0" borderId="18" xfId="0" applyFont="1" applyFill="1" applyBorder="1" applyProtection="1">
      <protection hidden="1"/>
    </xf>
    <xf numFmtId="0" fontId="5" fillId="0" borderId="5" xfId="0" applyFont="1" applyFill="1" applyBorder="1" applyProtection="1">
      <protection hidden="1"/>
    </xf>
    <xf numFmtId="165" fontId="10" fillId="0" borderId="0" xfId="0" applyNumberFormat="1" applyFont="1" applyFill="1" applyBorder="1" applyProtection="1"/>
    <xf numFmtId="0" fontId="10" fillId="0" borderId="0" xfId="0" applyFont="1" applyFill="1" applyProtection="1"/>
    <xf numFmtId="0" fontId="9" fillId="0" borderId="0" xfId="0" applyFont="1" applyFill="1" applyAlignment="1" applyProtection="1">
      <alignment horizontal="right"/>
    </xf>
    <xf numFmtId="0" fontId="6" fillId="0" borderId="5" xfId="0" applyFont="1" applyFill="1" applyBorder="1"/>
    <xf numFmtId="0" fontId="10" fillId="0" borderId="20" xfId="0" applyFont="1" applyFill="1" applyBorder="1"/>
    <xf numFmtId="165" fontId="10" fillId="0" borderId="2" xfId="3" applyNumberFormat="1" applyFont="1" applyFill="1" applyBorder="1"/>
    <xf numFmtId="165" fontId="10" fillId="0" borderId="7" xfId="3" applyNumberFormat="1" applyFont="1" applyFill="1" applyBorder="1"/>
    <xf numFmtId="0" fontId="6" fillId="0" borderId="3" xfId="0" applyFont="1" applyFill="1" applyBorder="1" applyAlignment="1" applyProtection="1">
      <alignment horizontal="center" shrinkToFit="1"/>
      <protection hidden="1"/>
    </xf>
    <xf numFmtId="0" fontId="14" fillId="0" borderId="18" xfId="0" applyFont="1" applyFill="1" applyBorder="1" applyAlignment="1" applyProtection="1">
      <alignment horizontal="right"/>
      <protection hidden="1"/>
    </xf>
    <xf numFmtId="0" fontId="14" fillId="0" borderId="19" xfId="0" applyFont="1" applyFill="1" applyBorder="1" applyAlignment="1" applyProtection="1">
      <alignment horizontal="right"/>
      <protection hidden="1"/>
    </xf>
    <xf numFmtId="1" fontId="6" fillId="0" borderId="0" xfId="0" applyNumberFormat="1" applyFont="1" applyFill="1" applyAlignment="1" applyProtection="1">
      <alignment shrinkToFit="1"/>
      <protection hidden="1"/>
    </xf>
    <xf numFmtId="10" fontId="6" fillId="0" borderId="9" xfId="7" applyNumberFormat="1" applyFont="1" applyFill="1" applyBorder="1" applyAlignment="1" applyProtection="1">
      <alignment horizontal="right"/>
      <protection hidden="1"/>
    </xf>
    <xf numFmtId="0" fontId="9" fillId="0" borderId="19" xfId="0" applyFont="1" applyFill="1" applyBorder="1" applyAlignment="1" applyProtection="1">
      <alignment horizontal="right" shrinkToFit="1"/>
    </xf>
    <xf numFmtId="0" fontId="9" fillId="0" borderId="3" xfId="0" applyFont="1" applyFill="1" applyBorder="1" applyAlignment="1" applyProtection="1">
      <alignment horizontal="right" shrinkToFit="1"/>
    </xf>
    <xf numFmtId="3" fontId="9" fillId="2" borderId="3" xfId="3" applyNumberFormat="1" applyFont="1" applyFill="1" applyBorder="1" applyAlignment="1" applyProtection="1">
      <alignment horizontal="right" shrinkToFit="1"/>
      <protection locked="0"/>
    </xf>
    <xf numFmtId="3" fontId="9" fillId="2" borderId="7" xfId="3" applyNumberFormat="1" applyFont="1" applyFill="1" applyBorder="1" applyAlignment="1" applyProtection="1">
      <alignment horizontal="right" shrinkToFit="1"/>
      <protection locked="0"/>
    </xf>
    <xf numFmtId="10" fontId="9" fillId="2" borderId="3" xfId="7" applyNumberFormat="1" applyFont="1" applyFill="1" applyBorder="1" applyAlignment="1" applyProtection="1">
      <alignment horizontal="right" shrinkToFit="1"/>
      <protection locked="0"/>
    </xf>
    <xf numFmtId="43" fontId="9" fillId="0" borderId="19" xfId="3" applyFont="1" applyFill="1" applyBorder="1" applyAlignment="1" applyProtection="1">
      <alignment horizontal="right" shrinkToFit="1"/>
    </xf>
    <xf numFmtId="0" fontId="9" fillId="2" borderId="3" xfId="0" applyFont="1" applyFill="1" applyBorder="1" applyAlignment="1" applyProtection="1">
      <alignment horizontal="right" shrinkToFit="1"/>
      <protection locked="0"/>
    </xf>
    <xf numFmtId="169" fontId="9" fillId="2" borderId="3" xfId="0" applyNumberFormat="1" applyFont="1" applyFill="1" applyBorder="1" applyAlignment="1" applyProtection="1">
      <alignment horizontal="center" shrinkToFit="1"/>
      <protection locked="0"/>
    </xf>
    <xf numFmtId="10" fontId="6" fillId="2" borderId="7" xfId="7" applyNumberFormat="1" applyFont="1" applyFill="1" applyBorder="1" applyAlignment="1" applyProtection="1">
      <alignment horizontal="center" shrinkToFit="1"/>
      <protection locked="0"/>
    </xf>
    <xf numFmtId="0" fontId="0" fillId="3" borderId="0" xfId="0" applyFill="1" applyProtection="1">
      <protection locked="0"/>
    </xf>
    <xf numFmtId="0" fontId="6" fillId="0" borderId="14" xfId="0" applyFont="1" applyFill="1" applyBorder="1" applyProtection="1">
      <protection hidden="1"/>
    </xf>
    <xf numFmtId="0" fontId="8" fillId="0" borderId="14" xfId="0" applyFont="1" applyFill="1" applyBorder="1" applyProtection="1">
      <protection hidden="1"/>
    </xf>
    <xf numFmtId="0" fontId="6" fillId="0" borderId="12" xfId="0" applyFont="1" applyFill="1" applyBorder="1" applyProtection="1">
      <protection hidden="1"/>
    </xf>
    <xf numFmtId="0" fontId="8" fillId="0" borderId="12" xfId="0" applyFont="1" applyFill="1" applyBorder="1" applyProtection="1">
      <protection hidden="1"/>
    </xf>
    <xf numFmtId="0" fontId="0" fillId="0" borderId="6" xfId="0" applyFill="1" applyBorder="1" applyProtection="1"/>
    <xf numFmtId="172" fontId="0" fillId="0" borderId="0" xfId="0" applyNumberFormat="1" applyFill="1" applyBorder="1"/>
    <xf numFmtId="0" fontId="0" fillId="0" borderId="0" xfId="0" applyFill="1" applyBorder="1" applyAlignment="1">
      <alignment horizontal="right" wrapText="1"/>
    </xf>
    <xf numFmtId="0" fontId="47" fillId="0" borderId="0" xfId="0" applyFont="1" applyBorder="1"/>
    <xf numFmtId="0" fontId="30" fillId="5" borderId="0" xfId="0" applyFont="1" applyFill="1" applyBorder="1" applyAlignment="1">
      <alignment horizontal="right" shrinkToFit="1"/>
    </xf>
    <xf numFmtId="0" fontId="30" fillId="5" borderId="0" xfId="0" applyFont="1" applyFill="1" applyBorder="1"/>
    <xf numFmtId="0" fontId="34" fillId="0" borderId="0" xfId="0" applyFont="1" applyBorder="1"/>
    <xf numFmtId="0" fontId="41" fillId="0" borderId="0" xfId="0" applyFont="1" applyBorder="1"/>
    <xf numFmtId="176" fontId="0" fillId="0" borderId="0" xfId="3" applyNumberFormat="1" applyFont="1" applyBorder="1"/>
    <xf numFmtId="179" fontId="0" fillId="0" borderId="0" xfId="3" applyNumberFormat="1" applyFont="1" applyBorder="1"/>
    <xf numFmtId="165" fontId="0" fillId="0" borderId="0" xfId="3" applyNumberFormat="1" applyFont="1" applyBorder="1" applyAlignment="1" applyProtection="1">
      <alignment horizontal="right" shrinkToFit="1"/>
      <protection locked="0"/>
    </xf>
    <xf numFmtId="9" fontId="6" fillId="0" borderId="3" xfId="0" applyNumberFormat="1" applyFont="1" applyFill="1" applyBorder="1" applyAlignment="1" applyProtection="1">
      <alignment horizontal="right"/>
    </xf>
    <xf numFmtId="171" fontId="0" fillId="3" borderId="30" xfId="7" applyNumberFormat="1" applyFont="1" applyFill="1" applyBorder="1" applyAlignment="1" applyProtection="1">
      <alignment horizontal="right" shrinkToFit="1"/>
      <protection locked="0"/>
    </xf>
    <xf numFmtId="171" fontId="42" fillId="0" borderId="29" xfId="7" applyNumberFormat="1" applyFont="1" applyBorder="1" applyAlignment="1">
      <alignment horizontal="right" shrinkToFit="1"/>
    </xf>
    <xf numFmtId="165" fontId="42" fillId="0" borderId="29" xfId="3" applyNumberFormat="1" applyFont="1" applyBorder="1" applyAlignment="1" applyProtection="1">
      <alignment horizontal="right" shrinkToFit="1"/>
      <protection hidden="1"/>
    </xf>
    <xf numFmtId="0" fontId="0" fillId="2" borderId="30" xfId="0" applyFill="1" applyBorder="1" applyAlignment="1" applyProtection="1">
      <alignment horizontal="right" shrinkToFit="1"/>
      <protection locked="0"/>
    </xf>
    <xf numFmtId="0" fontId="42" fillId="0" borderId="29" xfId="0" applyFont="1" applyBorder="1" applyAlignment="1" applyProtection="1">
      <alignment horizontal="right" shrinkToFit="1"/>
      <protection hidden="1"/>
    </xf>
    <xf numFmtId="165" fontId="0" fillId="2" borderId="30" xfId="3" applyNumberFormat="1" applyFont="1" applyFill="1" applyBorder="1" applyAlignment="1" applyProtection="1">
      <alignment shrinkToFit="1"/>
      <protection locked="0"/>
    </xf>
    <xf numFmtId="165" fontId="0" fillId="0" borderId="30" xfId="3" applyNumberFormat="1" applyFont="1" applyBorder="1" applyAlignment="1" applyProtection="1">
      <alignment horizontal="right" shrinkToFit="1"/>
      <protection hidden="1"/>
    </xf>
    <xf numFmtId="0" fontId="0" fillId="0" borderId="13" xfId="0" applyBorder="1"/>
    <xf numFmtId="0" fontId="42" fillId="0" borderId="15" xfId="0" applyFont="1" applyBorder="1"/>
    <xf numFmtId="165" fontId="0" fillId="0" borderId="0" xfId="3" applyNumberFormat="1" applyFont="1" applyFill="1" applyAlignment="1" applyProtection="1">
      <alignment shrinkToFit="1"/>
    </xf>
    <xf numFmtId="165" fontId="46" fillId="0" borderId="14" xfId="3" applyNumberFormat="1" applyFont="1" applyFill="1" applyBorder="1" applyAlignment="1" applyProtection="1">
      <alignment horizontal="right" shrinkToFit="1"/>
    </xf>
    <xf numFmtId="1" fontId="6" fillId="0" borderId="0" xfId="0" applyNumberFormat="1" applyFont="1" applyFill="1" applyProtection="1"/>
    <xf numFmtId="1" fontId="6" fillId="0" borderId="13" xfId="0" applyNumberFormat="1" applyFont="1" applyFill="1" applyBorder="1" applyProtection="1"/>
    <xf numFmtId="1" fontId="6" fillId="0" borderId="6" xfId="0" applyNumberFormat="1" applyFont="1" applyFill="1" applyBorder="1" applyProtection="1"/>
    <xf numFmtId="1" fontId="10" fillId="0" borderId="0" xfId="0" applyNumberFormat="1" applyFont="1" applyFill="1" applyProtection="1"/>
    <xf numFmtId="0" fontId="6" fillId="0" borderId="6" xfId="0" applyFont="1" applyFill="1" applyBorder="1" applyAlignment="1" applyProtection="1">
      <alignment horizontal="right"/>
    </xf>
    <xf numFmtId="0" fontId="10" fillId="0" borderId="0" xfId="0" applyFont="1" applyFill="1" applyAlignment="1" applyProtection="1">
      <alignment horizontal="right"/>
    </xf>
    <xf numFmtId="0" fontId="0" fillId="0" borderId="0" xfId="0" applyFill="1" applyBorder="1" applyAlignment="1" applyProtection="1">
      <alignment shrinkToFit="1"/>
      <protection locked="0"/>
    </xf>
    <xf numFmtId="0" fontId="0" fillId="0" borderId="9" xfId="0" applyFill="1" applyBorder="1" applyAlignment="1" applyProtection="1">
      <alignment shrinkToFit="1"/>
      <protection locked="0"/>
    </xf>
    <xf numFmtId="165" fontId="26" fillId="0" borderId="30" xfId="3" applyNumberFormat="1" applyFont="1" applyFill="1" applyBorder="1" applyAlignment="1" applyProtection="1">
      <alignment horizontal="right" shrinkToFit="1"/>
      <protection hidden="1"/>
    </xf>
    <xf numFmtId="165" fontId="23" fillId="0" borderId="30" xfId="3" applyNumberFormat="1" applyFont="1" applyFill="1" applyBorder="1" applyAlignment="1" applyProtection="1">
      <alignment horizontal="right" shrinkToFit="1"/>
      <protection hidden="1"/>
    </xf>
    <xf numFmtId="10" fontId="0" fillId="0" borderId="0" xfId="7" applyNumberFormat="1" applyFont="1" applyFill="1" applyBorder="1" applyAlignment="1" applyProtection="1">
      <alignment shrinkToFit="1"/>
      <protection locked="0"/>
    </xf>
    <xf numFmtId="10" fontId="0" fillId="0" borderId="9" xfId="7" applyNumberFormat="1" applyFont="1" applyFill="1" applyBorder="1" applyAlignment="1" applyProtection="1">
      <alignment shrinkToFit="1"/>
      <protection locked="0"/>
    </xf>
    <xf numFmtId="0" fontId="7" fillId="0" borderId="0" xfId="0" applyFont="1" applyProtection="1">
      <protection hidden="1"/>
    </xf>
    <xf numFmtId="1" fontId="0" fillId="3" borderId="29" xfId="0" applyNumberFormat="1" applyFill="1" applyBorder="1" applyAlignment="1" applyProtection="1">
      <alignment horizontal="right"/>
      <protection locked="0"/>
    </xf>
    <xf numFmtId="10" fontId="0" fillId="0" borderId="56" xfId="7" applyNumberFormat="1" applyFont="1" applyBorder="1" applyAlignment="1" applyProtection="1">
      <alignment horizontal="right" shrinkToFit="1"/>
      <protection hidden="1"/>
    </xf>
    <xf numFmtId="0" fontId="0" fillId="0" borderId="13" xfId="0" applyBorder="1" applyAlignment="1">
      <alignment horizontal="right" shrinkToFit="1"/>
    </xf>
    <xf numFmtId="0" fontId="0" fillId="0" borderId="0" xfId="0" applyAlignment="1" applyProtection="1">
      <alignment horizontal="right" wrapText="1"/>
    </xf>
    <xf numFmtId="0" fontId="0" fillId="0" borderId="0" xfId="0" applyAlignment="1" applyProtection="1">
      <alignment wrapText="1"/>
    </xf>
    <xf numFmtId="0" fontId="30" fillId="0" borderId="0" xfId="0" applyFont="1" applyProtection="1"/>
    <xf numFmtId="0" fontId="42" fillId="0" borderId="29" xfId="0" applyFont="1" applyBorder="1" applyAlignment="1">
      <alignment horizontal="left" wrapText="1"/>
    </xf>
    <xf numFmtId="165" fontId="26" fillId="0" borderId="0" xfId="0" applyNumberFormat="1" applyFont="1" applyFill="1" applyBorder="1" applyAlignment="1" applyProtection="1">
      <alignment horizontal="left"/>
    </xf>
    <xf numFmtId="0" fontId="14" fillId="0" borderId="0" xfId="0" applyFont="1" applyFill="1" applyBorder="1" applyProtection="1"/>
    <xf numFmtId="0" fontId="69" fillId="2" borderId="3" xfId="0" applyFont="1" applyFill="1" applyBorder="1" applyAlignment="1" applyProtection="1">
      <alignment horizontal="center" shrinkToFit="1"/>
      <protection locked="0"/>
    </xf>
    <xf numFmtId="165" fontId="6" fillId="0" borderId="0" xfId="0" applyNumberFormat="1" applyFont="1" applyFill="1" applyBorder="1" applyAlignment="1" applyProtection="1">
      <alignment horizontal="left" wrapText="1"/>
    </xf>
    <xf numFmtId="0" fontId="14" fillId="0" borderId="3" xfId="0" applyFont="1" applyFill="1" applyBorder="1" applyAlignment="1" applyProtection="1">
      <alignment horizontal="right" shrinkToFit="1"/>
      <protection hidden="1"/>
    </xf>
    <xf numFmtId="169" fontId="9" fillId="0" borderId="3" xfId="0" applyNumberFormat="1" applyFont="1" applyFill="1" applyBorder="1" applyAlignment="1" applyProtection="1">
      <alignment horizontal="center" shrinkToFit="1"/>
    </xf>
    <xf numFmtId="178" fontId="10" fillId="0" borderId="14" xfId="7" applyNumberFormat="1" applyFont="1" applyFill="1" applyBorder="1" applyAlignment="1" applyProtection="1">
      <alignment horizontal="right" shrinkToFit="1"/>
      <protection locked="0"/>
    </xf>
    <xf numFmtId="0" fontId="21" fillId="0" borderId="0" xfId="0" applyFont="1" applyFill="1" applyAlignment="1" applyProtection="1">
      <alignment horizontal="left"/>
    </xf>
    <xf numFmtId="165" fontId="21" fillId="0" borderId="0" xfId="3" applyNumberFormat="1" applyFont="1" applyFill="1" applyAlignment="1" applyProtection="1">
      <alignment horizontal="left"/>
      <protection hidden="1"/>
    </xf>
    <xf numFmtId="165" fontId="19" fillId="0" borderId="0" xfId="3" applyNumberFormat="1" applyFont="1" applyFill="1" applyAlignment="1" applyProtection="1">
      <alignment horizontal="left"/>
      <protection hidden="1"/>
    </xf>
    <xf numFmtId="165" fontId="19" fillId="0" borderId="0" xfId="3" applyNumberFormat="1" applyFont="1" applyFill="1" applyAlignment="1" applyProtection="1">
      <alignment horizontal="left"/>
    </xf>
    <xf numFmtId="0" fontId="24" fillId="0" borderId="0" xfId="0" applyFont="1" applyFill="1" applyAlignment="1" applyProtection="1">
      <alignment horizontal="left"/>
    </xf>
    <xf numFmtId="165" fontId="24" fillId="0" borderId="0" xfId="3" applyNumberFormat="1" applyFont="1" applyFill="1" applyAlignment="1" applyProtection="1">
      <alignment horizontal="left"/>
      <protection hidden="1"/>
    </xf>
    <xf numFmtId="165" fontId="23" fillId="0" borderId="0" xfId="3" applyNumberFormat="1" applyFont="1" applyFill="1" applyAlignment="1" applyProtection="1">
      <alignment horizontal="left"/>
      <protection hidden="1"/>
    </xf>
    <xf numFmtId="165" fontId="23" fillId="0" borderId="0" xfId="3" applyNumberFormat="1" applyFont="1" applyFill="1" applyAlignment="1" applyProtection="1">
      <alignment horizontal="left"/>
    </xf>
    <xf numFmtId="0" fontId="25" fillId="0" borderId="0" xfId="0" applyFont="1" applyFill="1" applyAlignment="1" applyProtection="1">
      <alignment horizontal="left"/>
    </xf>
    <xf numFmtId="165" fontId="25" fillId="0" borderId="0" xfId="3" applyNumberFormat="1" applyFont="1" applyFill="1" applyAlignment="1" applyProtection="1">
      <alignment horizontal="left"/>
      <protection hidden="1"/>
    </xf>
    <xf numFmtId="165" fontId="26" fillId="0" borderId="0" xfId="3" applyNumberFormat="1" applyFont="1" applyFill="1" applyAlignment="1" applyProtection="1">
      <alignment horizontal="left"/>
      <protection hidden="1"/>
    </xf>
    <xf numFmtId="165" fontId="26" fillId="0" borderId="0" xfId="3" applyNumberFormat="1" applyFont="1" applyFill="1" applyAlignment="1" applyProtection="1">
      <alignment horizontal="left"/>
    </xf>
    <xf numFmtId="0" fontId="27" fillId="0" borderId="0" xfId="0" applyFont="1" applyFill="1" applyAlignment="1" applyProtection="1">
      <alignment horizontal="left"/>
    </xf>
    <xf numFmtId="165" fontId="27" fillId="0" borderId="0" xfId="3" applyNumberFormat="1" applyFont="1" applyFill="1" applyAlignment="1" applyProtection="1">
      <alignment horizontal="left"/>
      <protection hidden="1"/>
    </xf>
    <xf numFmtId="165" fontId="28" fillId="0" borderId="0" xfId="3" applyNumberFormat="1" applyFont="1" applyFill="1" applyAlignment="1" applyProtection="1">
      <alignment horizontal="left"/>
      <protection hidden="1"/>
    </xf>
    <xf numFmtId="165" fontId="27" fillId="0" borderId="0" xfId="3" applyNumberFormat="1" applyFont="1" applyFill="1" applyAlignment="1" applyProtection="1">
      <alignment horizontal="left"/>
    </xf>
    <xf numFmtId="165" fontId="24" fillId="0" borderId="0" xfId="3" applyNumberFormat="1" applyFont="1" applyFill="1" applyAlignment="1" applyProtection="1">
      <alignment horizontal="left"/>
    </xf>
    <xf numFmtId="165" fontId="25" fillId="0" borderId="0" xfId="3" applyNumberFormat="1" applyFont="1" applyFill="1" applyAlignment="1" applyProtection="1">
      <alignment horizontal="left"/>
    </xf>
    <xf numFmtId="0" fontId="26" fillId="0" borderId="0" xfId="0" applyFont="1" applyFill="1" applyAlignment="1" applyProtection="1">
      <alignment horizontal="left"/>
    </xf>
    <xf numFmtId="0" fontId="26" fillId="0" borderId="14" xfId="0" applyFont="1" applyFill="1" applyBorder="1" applyAlignment="1" applyProtection="1">
      <alignment horizontal="left"/>
    </xf>
    <xf numFmtId="165" fontId="26" fillId="0" borderId="14" xfId="3" applyNumberFormat="1" applyFont="1" applyFill="1" applyBorder="1" applyAlignment="1" applyProtection="1">
      <alignment horizontal="left"/>
    </xf>
    <xf numFmtId="165" fontId="26" fillId="0" borderId="14" xfId="3" applyNumberFormat="1" applyFont="1" applyFill="1" applyBorder="1" applyAlignment="1" applyProtection="1">
      <alignment horizontal="left"/>
      <protection hidden="1"/>
    </xf>
    <xf numFmtId="0" fontId="26" fillId="0" borderId="14" xfId="0" applyFont="1" applyFill="1" applyBorder="1" applyAlignment="1" applyProtection="1">
      <alignment horizontal="left" wrapText="1"/>
      <protection hidden="1"/>
    </xf>
    <xf numFmtId="165" fontId="26" fillId="0" borderId="14" xfId="3" applyNumberFormat="1" applyFont="1" applyFill="1" applyBorder="1" applyAlignment="1" applyProtection="1">
      <alignment horizontal="left" wrapText="1"/>
    </xf>
    <xf numFmtId="165" fontId="28" fillId="0" borderId="14" xfId="3" applyNumberFormat="1" applyFont="1" applyFill="1" applyBorder="1" applyAlignment="1" applyProtection="1">
      <alignment horizontal="left"/>
    </xf>
    <xf numFmtId="165" fontId="28" fillId="0" borderId="14" xfId="3" applyNumberFormat="1" applyFont="1" applyFill="1" applyBorder="1" applyAlignment="1" applyProtection="1">
      <alignment horizontal="left"/>
      <protection hidden="1"/>
    </xf>
    <xf numFmtId="0" fontId="28" fillId="0" borderId="14" xfId="0" applyFont="1" applyFill="1" applyBorder="1" applyAlignment="1" applyProtection="1">
      <alignment horizontal="left" wrapText="1"/>
      <protection hidden="1"/>
    </xf>
    <xf numFmtId="165" fontId="28" fillId="0" borderId="14" xfId="3" applyNumberFormat="1" applyFont="1" applyFill="1" applyBorder="1" applyAlignment="1" applyProtection="1">
      <alignment horizontal="left" wrapText="1"/>
    </xf>
    <xf numFmtId="0" fontId="25" fillId="2" borderId="14" xfId="0" applyFont="1" applyFill="1" applyBorder="1" applyAlignment="1" applyProtection="1">
      <alignment horizontal="left"/>
      <protection locked="0"/>
    </xf>
    <xf numFmtId="165" fontId="25" fillId="2" borderId="14" xfId="3" applyNumberFormat="1" applyFont="1" applyFill="1" applyBorder="1" applyAlignment="1" applyProtection="1">
      <alignment horizontal="left"/>
      <protection locked="0"/>
    </xf>
    <xf numFmtId="0" fontId="26" fillId="2" borderId="14" xfId="0" applyFont="1" applyFill="1" applyBorder="1" applyAlignment="1" applyProtection="1">
      <alignment horizontal="left" wrapText="1"/>
      <protection locked="0"/>
    </xf>
    <xf numFmtId="165" fontId="26" fillId="2" borderId="14" xfId="3" applyNumberFormat="1" applyFont="1" applyFill="1" applyBorder="1" applyAlignment="1" applyProtection="1">
      <alignment horizontal="left" wrapText="1"/>
      <protection locked="0"/>
    </xf>
    <xf numFmtId="165" fontId="27" fillId="2" borderId="14" xfId="3" applyNumberFormat="1" applyFont="1" applyFill="1" applyBorder="1" applyAlignment="1" applyProtection="1">
      <alignment horizontal="left"/>
      <protection locked="0"/>
    </xf>
    <xf numFmtId="0" fontId="28" fillId="2" borderId="14" xfId="0" applyFont="1" applyFill="1" applyBorder="1" applyAlignment="1" applyProtection="1">
      <alignment horizontal="left" wrapText="1"/>
      <protection locked="0"/>
    </xf>
    <xf numFmtId="165" fontId="27" fillId="2" borderId="14" xfId="3" applyNumberFormat="1" applyFont="1" applyFill="1" applyBorder="1" applyAlignment="1" applyProtection="1">
      <alignment horizontal="left" wrapText="1"/>
      <protection locked="0"/>
    </xf>
    <xf numFmtId="165" fontId="24" fillId="2" borderId="14" xfId="3" applyNumberFormat="1" applyFont="1" applyFill="1" applyBorder="1" applyAlignment="1" applyProtection="1">
      <alignment horizontal="left"/>
      <protection locked="0"/>
    </xf>
    <xf numFmtId="0" fontId="24" fillId="2" borderId="14" xfId="0" applyFont="1" applyFill="1" applyBorder="1" applyAlignment="1" applyProtection="1">
      <alignment horizontal="left"/>
      <protection locked="0"/>
    </xf>
    <xf numFmtId="0" fontId="25" fillId="0" borderId="14" xfId="0" applyFont="1" applyFill="1" applyBorder="1" applyAlignment="1" applyProtection="1">
      <alignment horizontal="left"/>
      <protection locked="0" hidden="1"/>
    </xf>
    <xf numFmtId="165" fontId="25" fillId="0" borderId="14" xfId="3" applyNumberFormat="1" applyFont="1" applyFill="1" applyBorder="1" applyAlignment="1" applyProtection="1">
      <alignment horizontal="left"/>
      <protection locked="0" hidden="1"/>
    </xf>
    <xf numFmtId="0" fontId="26" fillId="0" borderId="14" xfId="0" applyFont="1" applyFill="1" applyBorder="1" applyAlignment="1" applyProtection="1">
      <alignment horizontal="left" wrapText="1"/>
      <protection locked="0" hidden="1"/>
    </xf>
    <xf numFmtId="165" fontId="26" fillId="0" borderId="14" xfId="3" applyNumberFormat="1" applyFont="1" applyFill="1" applyBorder="1" applyAlignment="1" applyProtection="1">
      <alignment horizontal="left" wrapText="1"/>
      <protection locked="0" hidden="1"/>
    </xf>
    <xf numFmtId="165" fontId="27" fillId="0" borderId="14" xfId="3" applyNumberFormat="1" applyFont="1" applyFill="1" applyBorder="1" applyAlignment="1" applyProtection="1">
      <alignment horizontal="left"/>
      <protection locked="0" hidden="1"/>
    </xf>
    <xf numFmtId="0" fontId="28" fillId="0" borderId="14" xfId="0" applyFont="1" applyFill="1" applyBorder="1" applyAlignment="1" applyProtection="1">
      <alignment horizontal="left" wrapText="1"/>
      <protection locked="0" hidden="1"/>
    </xf>
    <xf numFmtId="165" fontId="27" fillId="0" borderId="14" xfId="3" applyNumberFormat="1" applyFont="1" applyFill="1" applyBorder="1" applyAlignment="1" applyProtection="1">
      <alignment horizontal="left" wrapText="1"/>
      <protection locked="0" hidden="1"/>
    </xf>
    <xf numFmtId="165" fontId="24" fillId="0" borderId="14" xfId="3" applyNumberFormat="1" applyFont="1" applyFill="1" applyBorder="1" applyAlignment="1" applyProtection="1">
      <alignment horizontal="left"/>
      <protection locked="0" hidden="1"/>
    </xf>
    <xf numFmtId="0" fontId="24" fillId="0" borderId="14" xfId="0" applyFont="1" applyFill="1" applyBorder="1" applyAlignment="1" applyProtection="1">
      <alignment horizontal="left"/>
      <protection locked="0" hidden="1"/>
    </xf>
    <xf numFmtId="165" fontId="21" fillId="0" borderId="0" xfId="3" applyNumberFormat="1" applyFont="1" applyFill="1" applyAlignment="1" applyProtection="1">
      <alignment horizontal="left"/>
    </xf>
    <xf numFmtId="0" fontId="23" fillId="0" borderId="0" xfId="0" applyFont="1" applyFill="1" applyAlignment="1" applyProtection="1">
      <alignment horizontal="left"/>
      <protection hidden="1"/>
    </xf>
    <xf numFmtId="0" fontId="23" fillId="0" borderId="0" xfId="0" applyFont="1" applyFill="1" applyAlignment="1" applyProtection="1">
      <alignment horizontal="left"/>
    </xf>
    <xf numFmtId="0" fontId="19" fillId="0" borderId="0" xfId="0" applyFont="1" applyFill="1" applyAlignment="1" applyProtection="1">
      <alignment horizontal="left"/>
      <protection hidden="1"/>
    </xf>
    <xf numFmtId="0" fontId="19" fillId="0" borderId="0" xfId="0" applyFont="1" applyFill="1" applyAlignment="1" applyProtection="1">
      <alignment horizontal="left"/>
    </xf>
    <xf numFmtId="0" fontId="26" fillId="0" borderId="0" xfId="0" applyFont="1" applyFill="1" applyAlignment="1" applyProtection="1">
      <alignment horizontal="left"/>
      <protection hidden="1"/>
    </xf>
    <xf numFmtId="0" fontId="28" fillId="0" borderId="0" xfId="0" applyFont="1" applyFill="1" applyAlignment="1" applyProtection="1">
      <alignment horizontal="left"/>
      <protection hidden="1"/>
    </xf>
    <xf numFmtId="0" fontId="25" fillId="0" borderId="14" xfId="0" applyFont="1" applyFill="1" applyBorder="1" applyAlignment="1" applyProtection="1">
      <alignment horizontal="left"/>
      <protection hidden="1"/>
    </xf>
    <xf numFmtId="165" fontId="25" fillId="0" borderId="14" xfId="3" applyNumberFormat="1" applyFont="1" applyFill="1" applyBorder="1" applyAlignment="1" applyProtection="1">
      <alignment horizontal="left"/>
      <protection hidden="1"/>
    </xf>
    <xf numFmtId="165" fontId="26" fillId="0" borderId="14" xfId="3" applyNumberFormat="1" applyFont="1" applyFill="1" applyBorder="1" applyAlignment="1" applyProtection="1">
      <alignment horizontal="left" wrapText="1"/>
      <protection hidden="1"/>
    </xf>
    <xf numFmtId="165" fontId="27" fillId="0" borderId="14" xfId="3" applyNumberFormat="1" applyFont="1" applyFill="1" applyBorder="1" applyAlignment="1" applyProtection="1">
      <alignment horizontal="left"/>
      <protection hidden="1"/>
    </xf>
    <xf numFmtId="165" fontId="27" fillId="0" borderId="14" xfId="3" applyNumberFormat="1" applyFont="1" applyFill="1" applyBorder="1" applyAlignment="1" applyProtection="1">
      <alignment horizontal="left" wrapText="1"/>
      <protection hidden="1"/>
    </xf>
    <xf numFmtId="165" fontId="24" fillId="0" borderId="14" xfId="3" applyNumberFormat="1" applyFont="1" applyFill="1" applyBorder="1" applyAlignment="1" applyProtection="1">
      <alignment horizontal="left"/>
      <protection hidden="1"/>
    </xf>
    <xf numFmtId="0" fontId="24" fillId="0" borderId="14" xfId="0" applyFont="1" applyFill="1" applyBorder="1" applyAlignment="1" applyProtection="1">
      <alignment horizontal="left"/>
      <protection hidden="1"/>
    </xf>
    <xf numFmtId="43" fontId="0" fillId="0" borderId="0" xfId="3" applyFont="1" applyBorder="1" applyAlignment="1">
      <alignment horizontal="right"/>
    </xf>
    <xf numFmtId="171" fontId="0" fillId="0" borderId="0" xfId="7" applyNumberFormat="1" applyFont="1" applyBorder="1" applyAlignment="1">
      <alignment horizontal="right"/>
    </xf>
    <xf numFmtId="0" fontId="0" fillId="0" borderId="0" xfId="0" applyBorder="1" applyAlignment="1">
      <alignment horizontal="left" wrapText="1"/>
    </xf>
    <xf numFmtId="0" fontId="46" fillId="0" borderId="33" xfId="0" applyFont="1" applyBorder="1"/>
    <xf numFmtId="0" fontId="42" fillId="0" borderId="32" xfId="0" applyFont="1" applyBorder="1"/>
    <xf numFmtId="43" fontId="0" fillId="2" borderId="0" xfId="3" applyFont="1" applyFill="1" applyBorder="1" applyAlignment="1" applyProtection="1">
      <alignment horizontal="right" shrinkToFit="1"/>
      <protection locked="0"/>
    </xf>
    <xf numFmtId="0" fontId="42" fillId="0" borderId="33" xfId="0" applyFont="1" applyBorder="1"/>
    <xf numFmtId="43" fontId="0" fillId="3" borderId="0" xfId="3" applyFont="1" applyFill="1" applyBorder="1" applyAlignment="1" applyProtection="1">
      <alignment horizontal="right" shrinkToFit="1"/>
      <protection locked="0"/>
    </xf>
    <xf numFmtId="165" fontId="6" fillId="0" borderId="45" xfId="3" applyNumberFormat="1" applyFont="1" applyBorder="1" applyAlignment="1" applyProtection="1">
      <alignment horizontal="left" shrinkToFit="1"/>
      <protection hidden="1"/>
    </xf>
    <xf numFmtId="3" fontId="6" fillId="0" borderId="45" xfId="3" applyNumberFormat="1" applyFont="1" applyBorder="1" applyAlignment="1" applyProtection="1">
      <alignment horizontal="right" shrinkToFit="1"/>
      <protection hidden="1"/>
    </xf>
    <xf numFmtId="3" fontId="6" fillId="0" borderId="45" xfId="3" applyNumberFormat="1" applyFont="1" applyFill="1" applyBorder="1" applyAlignment="1" applyProtection="1">
      <alignment horizontal="right" shrinkToFit="1"/>
      <protection hidden="1"/>
    </xf>
    <xf numFmtId="3" fontId="6" fillId="0" borderId="73" xfId="3" applyNumberFormat="1" applyFont="1" applyBorder="1" applyAlignment="1" applyProtection="1">
      <alignment horizontal="right" shrinkToFit="1"/>
      <protection hidden="1"/>
    </xf>
    <xf numFmtId="0" fontId="0" fillId="3" borderId="29" xfId="0" applyFill="1" applyBorder="1" applyAlignment="1" applyProtection="1">
      <alignment horizontal="right" wrapText="1"/>
      <protection locked="0"/>
    </xf>
    <xf numFmtId="0" fontId="9" fillId="3" borderId="3" xfId="0" applyFont="1" applyFill="1" applyBorder="1" applyAlignment="1" applyProtection="1">
      <alignment horizontal="right" shrinkToFit="1"/>
      <protection locked="0"/>
    </xf>
    <xf numFmtId="0" fontId="0" fillId="0" borderId="14" xfId="0" applyBorder="1" applyAlignment="1">
      <alignment shrinkToFit="1"/>
    </xf>
    <xf numFmtId="165" fontId="0" fillId="0" borderId="15" xfId="3" applyNumberFormat="1" applyFont="1" applyBorder="1" applyAlignment="1">
      <alignment horizontal="right" shrinkToFit="1"/>
    </xf>
    <xf numFmtId="0" fontId="47" fillId="0" borderId="2" xfId="0" applyFont="1" applyFill="1" applyBorder="1" applyAlignment="1" applyProtection="1">
      <alignment shrinkToFit="1"/>
    </xf>
    <xf numFmtId="0" fontId="47" fillId="0" borderId="74" xfId="0" applyFont="1" applyFill="1" applyBorder="1" applyAlignment="1" applyProtection="1">
      <alignment shrinkToFit="1"/>
    </xf>
    <xf numFmtId="165" fontId="47" fillId="0" borderId="2" xfId="0" applyNumberFormat="1" applyFont="1" applyFill="1" applyBorder="1" applyAlignment="1" applyProtection="1">
      <alignment shrinkToFit="1"/>
    </xf>
    <xf numFmtId="165" fontId="47" fillId="0" borderId="2" xfId="3" applyNumberFormat="1" applyFont="1" applyFill="1" applyBorder="1" applyAlignment="1" applyProtection="1">
      <alignment shrinkToFit="1"/>
      <protection hidden="1"/>
    </xf>
    <xf numFmtId="165" fontId="47" fillId="0" borderId="2" xfId="3" applyNumberFormat="1" applyFont="1" applyFill="1" applyBorder="1" applyAlignment="1" applyProtection="1">
      <alignment horizontal="right" shrinkToFit="1"/>
      <protection hidden="1"/>
    </xf>
    <xf numFmtId="165" fontId="47" fillId="0" borderId="2" xfId="3" applyNumberFormat="1" applyFont="1" applyFill="1" applyBorder="1" applyAlignment="1" applyProtection="1">
      <alignment horizontal="right" shrinkToFit="1"/>
    </xf>
    <xf numFmtId="165" fontId="47" fillId="0" borderId="75" xfId="0" applyNumberFormat="1" applyFont="1" applyFill="1" applyBorder="1" applyAlignment="1" applyProtection="1">
      <alignment shrinkToFit="1"/>
    </xf>
    <xf numFmtId="165" fontId="47" fillId="0" borderId="44" xfId="0" applyNumberFormat="1" applyFont="1" applyFill="1" applyBorder="1" applyAlignment="1" applyProtection="1">
      <alignment shrinkToFit="1"/>
    </xf>
    <xf numFmtId="0" fontId="47" fillId="0" borderId="67" xfId="0" applyFont="1" applyFill="1" applyBorder="1" applyAlignment="1" applyProtection="1">
      <alignment shrinkToFit="1"/>
    </xf>
    <xf numFmtId="165" fontId="42" fillId="0" borderId="0" xfId="0" applyNumberFormat="1" applyFont="1" applyFill="1" applyBorder="1" applyAlignment="1" applyProtection="1">
      <alignment shrinkToFit="1"/>
    </xf>
    <xf numFmtId="43" fontId="42" fillId="0" borderId="0" xfId="3" applyFont="1" applyFill="1" applyBorder="1" applyAlignment="1" applyProtection="1">
      <alignment shrinkToFit="1"/>
    </xf>
    <xf numFmtId="0" fontId="42" fillId="0" borderId="0" xfId="0" applyFont="1" applyFill="1" applyBorder="1" applyAlignment="1" applyProtection="1">
      <alignment shrinkToFit="1"/>
    </xf>
    <xf numFmtId="0" fontId="48" fillId="0" borderId="0" xfId="0" applyFont="1" applyFill="1" applyBorder="1" applyAlignment="1" applyProtection="1">
      <alignment shrinkToFit="1"/>
    </xf>
    <xf numFmtId="165" fontId="48" fillId="0" borderId="0" xfId="3" applyNumberFormat="1" applyFont="1" applyFill="1" applyBorder="1" applyAlignment="1" applyProtection="1">
      <alignment shrinkToFit="1"/>
      <protection hidden="1"/>
    </xf>
    <xf numFmtId="165" fontId="47" fillId="0" borderId="0" xfId="3" applyNumberFormat="1" applyFont="1" applyFill="1" applyBorder="1" applyAlignment="1" applyProtection="1">
      <alignment horizontal="right" shrinkToFit="1"/>
      <protection hidden="1"/>
    </xf>
    <xf numFmtId="165" fontId="47" fillId="0" borderId="0" xfId="3" applyNumberFormat="1" applyFont="1" applyFill="1" applyBorder="1" applyAlignment="1" applyProtection="1">
      <alignment horizontal="right" shrinkToFit="1"/>
    </xf>
    <xf numFmtId="165" fontId="42" fillId="0" borderId="32" xfId="0" applyNumberFormat="1" applyFont="1" applyFill="1" applyBorder="1" applyAlignment="1" applyProtection="1">
      <alignment shrinkToFit="1"/>
    </xf>
    <xf numFmtId="0" fontId="49" fillId="0" borderId="0" xfId="0" applyFont="1" applyFill="1" applyBorder="1" applyAlignment="1" applyProtection="1">
      <alignment shrinkToFit="1"/>
    </xf>
    <xf numFmtId="165" fontId="49" fillId="0" borderId="0" xfId="3" applyNumberFormat="1" applyFont="1" applyFill="1" applyBorder="1" applyAlignment="1" applyProtection="1">
      <alignment shrinkToFit="1"/>
      <protection hidden="1"/>
    </xf>
    <xf numFmtId="165" fontId="44" fillId="0" borderId="0" xfId="3" applyNumberFormat="1" applyFont="1" applyFill="1" applyBorder="1" applyAlignment="1" applyProtection="1">
      <alignment horizontal="right" shrinkToFit="1"/>
      <protection hidden="1"/>
    </xf>
    <xf numFmtId="165" fontId="44" fillId="0" borderId="0" xfId="3" applyNumberFormat="1" applyFont="1" applyFill="1" applyBorder="1" applyAlignment="1" applyProtection="1">
      <alignment horizontal="right" shrinkToFit="1"/>
    </xf>
    <xf numFmtId="165" fontId="50" fillId="0" borderId="32" xfId="0" applyNumberFormat="1" applyFont="1" applyFill="1" applyBorder="1" applyAlignment="1" applyProtection="1">
      <alignment shrinkToFit="1"/>
    </xf>
    <xf numFmtId="165" fontId="50" fillId="0" borderId="0" xfId="0" applyNumberFormat="1" applyFont="1" applyFill="1" applyBorder="1" applyAlignment="1" applyProtection="1">
      <alignment shrinkToFit="1"/>
    </xf>
    <xf numFmtId="0" fontId="50" fillId="0" borderId="0" xfId="0" applyFont="1" applyFill="1" applyBorder="1" applyAlignment="1" applyProtection="1">
      <alignment shrinkToFit="1"/>
    </xf>
    <xf numFmtId="165" fontId="50" fillId="0" borderId="0" xfId="3" applyNumberFormat="1" applyFont="1" applyFill="1" applyBorder="1" applyAlignment="1" applyProtection="1">
      <alignment shrinkToFit="1"/>
      <protection hidden="1"/>
    </xf>
    <xf numFmtId="165" fontId="51" fillId="0" borderId="32" xfId="0" applyNumberFormat="1" applyFont="1" applyFill="1" applyBorder="1" applyAlignment="1" applyProtection="1">
      <alignment shrinkToFit="1"/>
    </xf>
    <xf numFmtId="165" fontId="51" fillId="0" borderId="0" xfId="0" applyNumberFormat="1" applyFont="1" applyFill="1" applyBorder="1" applyAlignment="1" applyProtection="1">
      <alignment shrinkToFit="1"/>
    </xf>
    <xf numFmtId="0" fontId="51" fillId="0" borderId="0" xfId="0" applyFont="1" applyFill="1" applyBorder="1" applyAlignment="1" applyProtection="1">
      <alignment shrinkToFit="1"/>
    </xf>
    <xf numFmtId="165" fontId="51" fillId="0" borderId="0" xfId="3" applyNumberFormat="1" applyFont="1" applyFill="1" applyBorder="1" applyAlignment="1" applyProtection="1">
      <alignment shrinkToFit="1"/>
      <protection hidden="1"/>
    </xf>
    <xf numFmtId="165" fontId="51" fillId="0" borderId="0" xfId="3" applyNumberFormat="1" applyFont="1" applyFill="1" applyBorder="1" applyAlignment="1" applyProtection="1">
      <alignment horizontal="right" shrinkToFit="1"/>
      <protection hidden="1"/>
    </xf>
    <xf numFmtId="165" fontId="46" fillId="0" borderId="32" xfId="0" applyNumberFormat="1" applyFont="1" applyFill="1" applyBorder="1" applyAlignment="1" applyProtection="1">
      <alignment shrinkToFit="1"/>
    </xf>
    <xf numFmtId="0" fontId="42" fillId="0" borderId="13" xfId="0" applyFont="1" applyFill="1" applyBorder="1" applyAlignment="1" applyProtection="1">
      <alignment shrinkToFit="1"/>
    </xf>
    <xf numFmtId="165" fontId="42" fillId="0" borderId="9" xfId="0" applyNumberFormat="1" applyFont="1" applyFill="1" applyBorder="1" applyAlignment="1" applyProtection="1">
      <alignment shrinkToFit="1"/>
    </xf>
    <xf numFmtId="43" fontId="42" fillId="0" borderId="9" xfId="3" applyFont="1" applyFill="1" applyBorder="1" applyAlignment="1" applyProtection="1">
      <alignment shrinkToFit="1"/>
    </xf>
    <xf numFmtId="0" fontId="42" fillId="0" borderId="9" xfId="0" applyFont="1" applyFill="1" applyBorder="1" applyAlignment="1" applyProtection="1">
      <alignment shrinkToFit="1"/>
    </xf>
    <xf numFmtId="0" fontId="48" fillId="0" borderId="9" xfId="0" applyFont="1" applyFill="1" applyBorder="1" applyAlignment="1" applyProtection="1">
      <alignment shrinkToFit="1"/>
    </xf>
    <xf numFmtId="165" fontId="48" fillId="0" borderId="9" xfId="3" applyNumberFormat="1" applyFont="1" applyFill="1" applyBorder="1" applyAlignment="1" applyProtection="1">
      <alignment shrinkToFit="1"/>
      <protection hidden="1"/>
    </xf>
    <xf numFmtId="165" fontId="47" fillId="0" borderId="9" xfId="3" applyNumberFormat="1" applyFont="1" applyFill="1" applyBorder="1" applyAlignment="1" applyProtection="1">
      <alignment horizontal="right" shrinkToFit="1"/>
      <protection hidden="1"/>
    </xf>
    <xf numFmtId="165" fontId="47" fillId="0" borderId="9" xfId="3" applyNumberFormat="1" applyFont="1" applyFill="1" applyBorder="1" applyAlignment="1" applyProtection="1">
      <alignment horizontal="right" shrinkToFit="1"/>
    </xf>
    <xf numFmtId="165" fontId="42" fillId="0" borderId="68" xfId="0" applyNumberFormat="1" applyFont="1" applyFill="1" applyBorder="1" applyAlignment="1" applyProtection="1">
      <alignment shrinkToFit="1"/>
    </xf>
    <xf numFmtId="0" fontId="49" fillId="0" borderId="9" xfId="0" applyFont="1" applyFill="1" applyBorder="1" applyAlignment="1" applyProtection="1">
      <alignment shrinkToFit="1"/>
    </xf>
    <xf numFmtId="165" fontId="49" fillId="0" borderId="9" xfId="3" applyNumberFormat="1" applyFont="1" applyFill="1" applyBorder="1" applyAlignment="1" applyProtection="1">
      <alignment shrinkToFit="1"/>
      <protection hidden="1"/>
    </xf>
    <xf numFmtId="165" fontId="44" fillId="0" borderId="9" xfId="3" applyNumberFormat="1" applyFont="1" applyFill="1" applyBorder="1" applyAlignment="1" applyProtection="1">
      <alignment horizontal="right" shrinkToFit="1"/>
      <protection hidden="1"/>
    </xf>
    <xf numFmtId="165" fontId="44" fillId="0" borderId="9" xfId="3" applyNumberFormat="1" applyFont="1" applyFill="1" applyBorder="1" applyAlignment="1" applyProtection="1">
      <alignment horizontal="right" shrinkToFit="1"/>
    </xf>
    <xf numFmtId="165" fontId="50" fillId="0" borderId="68" xfId="0" applyNumberFormat="1" applyFont="1" applyFill="1" applyBorder="1" applyAlignment="1" applyProtection="1">
      <alignment shrinkToFit="1"/>
    </xf>
    <xf numFmtId="165" fontId="50" fillId="0" borderId="9" xfId="0" applyNumberFormat="1" applyFont="1" applyFill="1" applyBorder="1" applyAlignment="1" applyProtection="1">
      <alignment shrinkToFit="1"/>
    </xf>
    <xf numFmtId="0" fontId="50" fillId="0" borderId="9" xfId="0" applyFont="1" applyFill="1" applyBorder="1" applyAlignment="1" applyProtection="1">
      <alignment shrinkToFit="1"/>
    </xf>
    <xf numFmtId="165" fontId="50" fillId="0" borderId="9" xfId="3" applyNumberFormat="1" applyFont="1" applyFill="1" applyBorder="1" applyAlignment="1" applyProtection="1">
      <alignment shrinkToFit="1"/>
      <protection hidden="1"/>
    </xf>
    <xf numFmtId="165" fontId="51" fillId="0" borderId="68" xfId="0" applyNumberFormat="1" applyFont="1" applyFill="1" applyBorder="1" applyAlignment="1" applyProtection="1">
      <alignment shrinkToFit="1"/>
    </xf>
    <xf numFmtId="165" fontId="51" fillId="0" borderId="9" xfId="0" applyNumberFormat="1" applyFont="1" applyFill="1" applyBorder="1" applyAlignment="1" applyProtection="1">
      <alignment shrinkToFit="1"/>
    </xf>
    <xf numFmtId="0" fontId="51" fillId="0" borderId="9" xfId="0" applyFont="1" applyFill="1" applyBorder="1" applyAlignment="1" applyProtection="1">
      <alignment shrinkToFit="1"/>
    </xf>
    <xf numFmtId="165" fontId="51" fillId="0" borderId="9" xfId="3" applyNumberFormat="1" applyFont="1" applyFill="1" applyBorder="1" applyAlignment="1" applyProtection="1">
      <alignment shrinkToFit="1"/>
      <protection hidden="1"/>
    </xf>
    <xf numFmtId="165" fontId="51" fillId="0" borderId="9" xfId="3" applyNumberFormat="1" applyFont="1" applyFill="1" applyBorder="1" applyAlignment="1" applyProtection="1">
      <alignment horizontal="right" shrinkToFit="1"/>
      <protection hidden="1"/>
    </xf>
    <xf numFmtId="165" fontId="46" fillId="0" borderId="68" xfId="0" applyNumberFormat="1" applyFont="1" applyFill="1" applyBorder="1" applyAlignment="1" applyProtection="1">
      <alignment shrinkToFit="1"/>
    </xf>
    <xf numFmtId="0" fontId="42" fillId="0" borderId="70" xfId="0" applyFont="1" applyFill="1" applyBorder="1" applyAlignment="1" applyProtection="1">
      <alignment shrinkToFit="1"/>
    </xf>
    <xf numFmtId="43" fontId="47" fillId="0" borderId="2" xfId="3" applyFont="1" applyFill="1" applyBorder="1" applyAlignment="1" applyProtection="1">
      <alignment shrinkToFit="1"/>
    </xf>
    <xf numFmtId="0" fontId="0" fillId="3" borderId="30" xfId="0" applyFill="1" applyBorder="1" applyAlignment="1" applyProtection="1">
      <alignment horizontal="right" shrinkToFit="1"/>
      <protection locked="0"/>
    </xf>
    <xf numFmtId="0" fontId="21" fillId="0" borderId="0" xfId="0" applyFont="1" applyFill="1" applyAlignment="1" applyProtection="1"/>
    <xf numFmtId="0" fontId="21" fillId="0" borderId="0" xfId="0" applyFont="1" applyFill="1" applyBorder="1" applyAlignment="1" applyProtection="1">
      <alignment horizontal="left"/>
    </xf>
    <xf numFmtId="165" fontId="21" fillId="0" borderId="0" xfId="3" applyNumberFormat="1" applyFont="1" applyFill="1" applyBorder="1" applyAlignment="1" applyProtection="1">
      <alignment horizontal="left"/>
    </xf>
    <xf numFmtId="165" fontId="21" fillId="0" borderId="0" xfId="3" applyNumberFormat="1" applyFont="1" applyFill="1" applyBorder="1" applyAlignment="1" applyProtection="1">
      <alignment horizontal="left"/>
      <protection hidden="1"/>
    </xf>
    <xf numFmtId="0" fontId="23" fillId="0" borderId="0" xfId="0" applyFont="1" applyFill="1" applyBorder="1" applyAlignment="1" applyProtection="1">
      <alignment horizontal="left"/>
      <protection hidden="1"/>
    </xf>
    <xf numFmtId="0" fontId="23" fillId="0" borderId="0" xfId="0" applyFont="1" applyFill="1" applyBorder="1" applyAlignment="1" applyProtection="1">
      <alignment horizontal="left"/>
    </xf>
    <xf numFmtId="0" fontId="24" fillId="0" borderId="0" xfId="0" applyFont="1" applyFill="1" applyBorder="1" applyAlignment="1" applyProtection="1">
      <alignment horizontal="left"/>
    </xf>
    <xf numFmtId="165" fontId="24" fillId="0" borderId="0" xfId="3" applyNumberFormat="1" applyFont="1" applyFill="1" applyBorder="1" applyAlignment="1" applyProtection="1">
      <alignment horizontal="left"/>
    </xf>
    <xf numFmtId="165" fontId="24" fillId="0" borderId="0" xfId="3" applyNumberFormat="1" applyFont="1" applyFill="1" applyBorder="1" applyAlignment="1" applyProtection="1">
      <alignment horizontal="left"/>
      <protection hidden="1"/>
    </xf>
    <xf numFmtId="0" fontId="19" fillId="0" borderId="0" xfId="0" applyFont="1" applyFill="1" applyBorder="1" applyAlignment="1" applyProtection="1">
      <alignment horizontal="left"/>
      <protection hidden="1"/>
    </xf>
    <xf numFmtId="0" fontId="19" fillId="0" borderId="0" xfId="0" applyFont="1" applyFill="1" applyBorder="1" applyAlignment="1" applyProtection="1">
      <alignment horizontal="left"/>
    </xf>
    <xf numFmtId="0" fontId="25" fillId="0" borderId="0" xfId="0" applyFont="1" applyFill="1" applyBorder="1" applyAlignment="1" applyProtection="1">
      <alignment horizontal="left"/>
    </xf>
    <xf numFmtId="165" fontId="25" fillId="0" borderId="0" xfId="3" applyNumberFormat="1" applyFont="1" applyFill="1" applyBorder="1" applyAlignment="1" applyProtection="1">
      <alignment horizontal="left"/>
    </xf>
    <xf numFmtId="165" fontId="25" fillId="0" borderId="0" xfId="3" applyNumberFormat="1" applyFont="1" applyFill="1" applyBorder="1" applyAlignment="1" applyProtection="1">
      <alignment horizontal="left"/>
      <protection hidden="1"/>
    </xf>
    <xf numFmtId="0" fontId="26" fillId="0" borderId="0" xfId="0" applyFont="1" applyFill="1" applyBorder="1" applyAlignment="1" applyProtection="1">
      <alignment horizontal="left"/>
      <protection hidden="1"/>
    </xf>
    <xf numFmtId="0" fontId="26" fillId="0" borderId="0" xfId="0" applyFont="1" applyFill="1" applyBorder="1" applyAlignment="1" applyProtection="1">
      <alignment horizontal="left"/>
    </xf>
    <xf numFmtId="0" fontId="27" fillId="0" borderId="0" xfId="0" applyFont="1" applyFill="1" applyBorder="1" applyAlignment="1" applyProtection="1">
      <alignment horizontal="left"/>
    </xf>
    <xf numFmtId="165" fontId="27" fillId="0" borderId="0" xfId="3" applyNumberFormat="1" applyFont="1" applyFill="1" applyBorder="1" applyAlignment="1" applyProtection="1">
      <alignment horizontal="left"/>
    </xf>
    <xf numFmtId="165" fontId="27" fillId="0" borderId="0" xfId="3" applyNumberFormat="1"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165" fontId="26" fillId="0" borderId="0" xfId="3" applyNumberFormat="1" applyFont="1" applyFill="1" applyBorder="1" applyAlignment="1" applyProtection="1">
      <alignment horizontal="left"/>
    </xf>
    <xf numFmtId="165" fontId="26" fillId="0" borderId="0" xfId="3" applyNumberFormat="1" applyFont="1" applyFill="1" applyBorder="1" applyAlignment="1" applyProtection="1">
      <alignment horizontal="left"/>
      <protection hidden="1"/>
    </xf>
    <xf numFmtId="0" fontId="28" fillId="0" borderId="0" xfId="0" applyFont="1" applyFill="1" applyBorder="1" applyAlignment="1" applyProtection="1">
      <alignment horizontal="left"/>
    </xf>
    <xf numFmtId="165" fontId="28" fillId="0" borderId="0" xfId="3" applyNumberFormat="1" applyFont="1" applyFill="1" applyBorder="1" applyAlignment="1" applyProtection="1">
      <alignment horizontal="left"/>
    </xf>
    <xf numFmtId="165" fontId="28" fillId="0" borderId="0" xfId="3" applyNumberFormat="1" applyFont="1" applyFill="1" applyBorder="1" applyAlignment="1" applyProtection="1">
      <alignment horizontal="left"/>
      <protection hidden="1"/>
    </xf>
    <xf numFmtId="0" fontId="28" fillId="0" borderId="0" xfId="0" applyFont="1" applyFill="1" applyAlignment="1" applyProtection="1">
      <alignment horizontal="left"/>
    </xf>
    <xf numFmtId="9" fontId="42" fillId="0" borderId="0" xfId="7" applyFont="1" applyFill="1" applyBorder="1" applyAlignment="1" applyProtection="1">
      <alignment horizontal="left"/>
    </xf>
    <xf numFmtId="165" fontId="28" fillId="0" borderId="0" xfId="3" applyNumberFormat="1" applyFont="1" applyFill="1" applyAlignment="1" applyProtection="1">
      <alignment horizontal="left"/>
    </xf>
    <xf numFmtId="0" fontId="42" fillId="0" borderId="0" xfId="0" applyFont="1" applyFill="1" applyBorder="1" applyAlignment="1" applyProtection="1"/>
    <xf numFmtId="165" fontId="0" fillId="3" borderId="0" xfId="3" applyNumberFormat="1" applyFont="1" applyFill="1" applyAlignment="1" applyProtection="1">
      <alignment horizontal="right" shrinkToFit="1"/>
      <protection locked="0"/>
    </xf>
    <xf numFmtId="165" fontId="0" fillId="3" borderId="6" xfId="3" applyNumberFormat="1" applyFont="1" applyFill="1" applyBorder="1" applyAlignment="1" applyProtection="1">
      <alignment horizontal="right" shrinkToFit="1"/>
      <protection locked="0"/>
    </xf>
    <xf numFmtId="0" fontId="0" fillId="3" borderId="0" xfId="0" applyFill="1" applyAlignment="1" applyProtection="1">
      <alignment horizontal="left"/>
      <protection locked="0"/>
    </xf>
    <xf numFmtId="10" fontId="0" fillId="3" borderId="0" xfId="7" applyNumberFormat="1" applyFont="1" applyFill="1" applyProtection="1">
      <protection locked="0"/>
    </xf>
    <xf numFmtId="165" fontId="0" fillId="3" borderId="0" xfId="3" applyNumberFormat="1" applyFont="1" applyFill="1" applyBorder="1" applyAlignment="1" applyProtection="1">
      <alignment horizontal="right" shrinkToFit="1"/>
      <protection locked="0"/>
    </xf>
    <xf numFmtId="0" fontId="0" fillId="3" borderId="0" xfId="0" applyFill="1" applyBorder="1" applyAlignment="1" applyProtection="1">
      <alignment horizontal="right"/>
      <protection locked="0"/>
    </xf>
    <xf numFmtId="0" fontId="0" fillId="3" borderId="0" xfId="0" applyFill="1" applyAlignment="1" applyProtection="1">
      <alignment horizontal="right"/>
      <protection locked="0"/>
    </xf>
    <xf numFmtId="1" fontId="6" fillId="0" borderId="0" xfId="0" applyNumberFormat="1" applyFont="1" applyFill="1" applyBorder="1" applyProtection="1"/>
    <xf numFmtId="165" fontId="0" fillId="0" borderId="30" xfId="3" applyNumberFormat="1" applyFont="1" applyBorder="1" applyAlignment="1">
      <alignment horizontal="right"/>
    </xf>
    <xf numFmtId="0" fontId="10" fillId="0" borderId="0" xfId="0" applyFont="1" applyFill="1" applyBorder="1"/>
    <xf numFmtId="10" fontId="8" fillId="0" borderId="3" xfId="7" applyNumberFormat="1" applyFont="1" applyFill="1" applyBorder="1" applyAlignment="1" applyProtection="1">
      <alignment horizontal="right"/>
    </xf>
    <xf numFmtId="0" fontId="8" fillId="2" borderId="0" xfId="0" applyFont="1" applyFill="1" applyBorder="1" applyProtection="1">
      <protection locked="0"/>
    </xf>
    <xf numFmtId="165" fontId="10" fillId="0" borderId="3" xfId="3" applyNumberFormat="1" applyFont="1" applyFill="1" applyBorder="1" applyAlignment="1" applyProtection="1">
      <alignment horizontal="right"/>
      <protection hidden="1"/>
    </xf>
    <xf numFmtId="0" fontId="6" fillId="0" borderId="0" xfId="0" applyFont="1" applyFill="1" applyBorder="1"/>
    <xf numFmtId="0" fontId="8" fillId="0" borderId="0" xfId="0" applyFont="1" applyFill="1" applyBorder="1"/>
    <xf numFmtId="0" fontId="10" fillId="0" borderId="17" xfId="0" applyFont="1" applyFill="1" applyBorder="1" applyAlignment="1">
      <alignment horizontal="left"/>
    </xf>
    <xf numFmtId="0" fontId="10" fillId="0" borderId="19" xfId="0" applyFont="1" applyFill="1" applyBorder="1" applyAlignment="1">
      <alignment horizontal="right"/>
    </xf>
    <xf numFmtId="10" fontId="8" fillId="3" borderId="3" xfId="7" applyNumberFormat="1" applyFont="1" applyFill="1" applyBorder="1" applyAlignment="1" applyProtection="1">
      <alignment horizontal="right"/>
      <protection locked="0"/>
    </xf>
    <xf numFmtId="165" fontId="8" fillId="3" borderId="3" xfId="3" applyNumberFormat="1" applyFont="1" applyFill="1" applyBorder="1" applyAlignment="1" applyProtection="1">
      <alignment horizontal="center"/>
      <protection locked="0"/>
    </xf>
    <xf numFmtId="0" fontId="8" fillId="0" borderId="19" xfId="0" applyFont="1" applyFill="1" applyBorder="1" applyAlignment="1" applyProtection="1">
      <alignment horizontal="center"/>
    </xf>
    <xf numFmtId="0" fontId="10" fillId="0" borderId="18" xfId="0" applyFont="1" applyFill="1" applyBorder="1"/>
    <xf numFmtId="0" fontId="9" fillId="0" borderId="19" xfId="0" applyFont="1" applyFill="1" applyBorder="1" applyAlignment="1" applyProtection="1">
      <alignment horizontal="center"/>
    </xf>
    <xf numFmtId="0" fontId="6" fillId="0" borderId="5" xfId="0" applyFont="1" applyFill="1" applyBorder="1" applyAlignment="1" applyProtection="1">
      <alignment horizontal="left"/>
    </xf>
    <xf numFmtId="165" fontId="8" fillId="0" borderId="3" xfId="3" applyNumberFormat="1" applyFont="1" applyFill="1" applyBorder="1" applyAlignment="1" applyProtection="1">
      <alignment horizontal="center"/>
    </xf>
    <xf numFmtId="43" fontId="8" fillId="0" borderId="3" xfId="0" applyNumberFormat="1" applyFont="1" applyFill="1" applyBorder="1" applyAlignment="1" applyProtection="1">
      <alignment horizontal="center"/>
    </xf>
    <xf numFmtId="0" fontId="6" fillId="0" borderId="20" xfId="0" applyFont="1" applyFill="1" applyBorder="1" applyProtection="1"/>
    <xf numFmtId="0" fontId="8" fillId="0" borderId="7" xfId="0" applyFont="1" applyFill="1" applyBorder="1" applyAlignment="1" applyProtection="1">
      <alignment horizontal="right"/>
      <protection hidden="1"/>
    </xf>
    <xf numFmtId="0" fontId="9" fillId="0" borderId="19" xfId="0" applyFont="1" applyFill="1" applyBorder="1" applyAlignment="1" applyProtection="1">
      <alignment horizontal="right"/>
    </xf>
    <xf numFmtId="165" fontId="9" fillId="2" borderId="3" xfId="3" applyNumberFormat="1" applyFont="1" applyFill="1" applyBorder="1" applyAlignment="1" applyProtection="1">
      <alignment horizontal="right" shrinkToFit="1"/>
      <protection locked="0"/>
    </xf>
    <xf numFmtId="172" fontId="9" fillId="2" borderId="3" xfId="0" applyNumberFormat="1" applyFont="1" applyFill="1" applyBorder="1" applyAlignment="1" applyProtection="1">
      <alignment horizontal="right" shrinkToFit="1"/>
      <protection locked="0"/>
    </xf>
    <xf numFmtId="172" fontId="9" fillId="2" borderId="7" xfId="0" applyNumberFormat="1" applyFont="1" applyFill="1" applyBorder="1" applyAlignment="1" applyProtection="1">
      <alignment horizontal="right" shrinkToFit="1"/>
      <protection locked="0"/>
    </xf>
    <xf numFmtId="0" fontId="6" fillId="2" borderId="0" xfId="0" applyFont="1" applyFill="1" applyBorder="1" applyAlignment="1" applyProtection="1">
      <alignment shrinkToFit="1"/>
      <protection locked="0"/>
    </xf>
    <xf numFmtId="0" fontId="6" fillId="2" borderId="9" xfId="0" applyFont="1" applyFill="1" applyBorder="1" applyAlignment="1" applyProtection="1">
      <alignment shrinkToFit="1"/>
      <protection locked="0"/>
    </xf>
    <xf numFmtId="165" fontId="0" fillId="0" borderId="0" xfId="3" applyNumberFormat="1" applyFont="1" applyProtection="1">
      <protection hidden="1"/>
    </xf>
    <xf numFmtId="165" fontId="8" fillId="0" borderId="3" xfId="3" applyNumberFormat="1" applyFont="1" applyFill="1" applyBorder="1" applyAlignment="1" applyProtection="1">
      <alignment horizontal="right"/>
    </xf>
    <xf numFmtId="10" fontId="8" fillId="0" borderId="3" xfId="7" applyNumberFormat="1" applyFont="1" applyFill="1" applyBorder="1"/>
    <xf numFmtId="165" fontId="8" fillId="3" borderId="7" xfId="3" applyNumberFormat="1" applyFont="1" applyFill="1" applyBorder="1" applyAlignment="1" applyProtection="1">
      <alignment horizontal="center"/>
      <protection locked="0"/>
    </xf>
    <xf numFmtId="10" fontId="8" fillId="3" borderId="7" xfId="7" applyNumberFormat="1" applyFont="1" applyFill="1" applyBorder="1" applyAlignment="1" applyProtection="1">
      <alignment horizontal="right"/>
      <protection locked="0"/>
    </xf>
    <xf numFmtId="0" fontId="7" fillId="0" borderId="0" xfId="0" applyFont="1" applyAlignment="1">
      <alignment wrapText="1"/>
    </xf>
    <xf numFmtId="171" fontId="10" fillId="0" borderId="0" xfId="7" applyNumberFormat="1" applyFont="1" applyBorder="1" applyAlignment="1">
      <alignment wrapText="1"/>
    </xf>
    <xf numFmtId="0" fontId="16" fillId="0" borderId="0" xfId="0" applyFont="1" applyAlignment="1">
      <alignment readingOrder="1"/>
    </xf>
    <xf numFmtId="0" fontId="7" fillId="0" borderId="0" xfId="0" applyFont="1" applyFill="1" applyAlignment="1" applyProtection="1"/>
    <xf numFmtId="0" fontId="8" fillId="2" borderId="12"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10" fillId="0" borderId="14"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2" borderId="76" xfId="0" applyFont="1" applyFill="1" applyBorder="1" applyAlignment="1" applyProtection="1">
      <alignment horizontal="right"/>
      <protection locked="0"/>
    </xf>
    <xf numFmtId="0" fontId="10" fillId="0" borderId="29" xfId="0" applyFont="1" applyBorder="1" applyAlignment="1">
      <alignment horizontal="left" wrapText="1"/>
    </xf>
    <xf numFmtId="0" fontId="10" fillId="0" borderId="29" xfId="0" applyFont="1" applyBorder="1" applyAlignment="1">
      <alignment horizontal="right" wrapText="1"/>
    </xf>
    <xf numFmtId="0" fontId="9" fillId="0" borderId="3" xfId="0" applyFont="1" applyFill="1" applyBorder="1" applyAlignment="1" applyProtection="1">
      <alignment horizontal="center" shrinkToFit="1"/>
    </xf>
    <xf numFmtId="0" fontId="10" fillId="0" borderId="0" xfId="0" applyFont="1" applyAlignment="1">
      <alignment vertical="center" readingOrder="1"/>
    </xf>
    <xf numFmtId="0" fontId="10" fillId="0" borderId="0" xfId="0" applyFont="1" applyBorder="1" applyAlignment="1">
      <alignment vertical="center" readingOrder="1"/>
    </xf>
    <xf numFmtId="0" fontId="10" fillId="0" borderId="14" xfId="0" applyFont="1" applyBorder="1" applyAlignment="1">
      <alignment vertical="center" readingOrder="1"/>
    </xf>
    <xf numFmtId="0" fontId="10" fillId="0" borderId="33" xfId="0" applyFont="1" applyBorder="1" applyAlignment="1">
      <alignment horizontal="center" vertical="center" wrapText="1" readingOrder="1"/>
    </xf>
    <xf numFmtId="0" fontId="10" fillId="0" borderId="14" xfId="0" applyFont="1" applyBorder="1" applyAlignment="1">
      <alignment horizontal="right" vertical="center" readingOrder="1"/>
    </xf>
    <xf numFmtId="165" fontId="10" fillId="3" borderId="29" xfId="3" applyNumberFormat="1" applyFont="1" applyFill="1" applyBorder="1" applyAlignment="1" applyProtection="1">
      <alignment horizontal="right" vertical="center" readingOrder="1"/>
      <protection locked="0"/>
    </xf>
    <xf numFmtId="0" fontId="16" fillId="0" borderId="0" xfId="0" applyFont="1" applyAlignment="1">
      <alignment vertical="center" readingOrder="1"/>
    </xf>
    <xf numFmtId="10" fontId="10" fillId="0" borderId="15" xfId="7" applyNumberFormat="1" applyFont="1" applyBorder="1" applyAlignment="1">
      <alignment horizontal="center" vertical="center" readingOrder="1"/>
    </xf>
    <xf numFmtId="165" fontId="10" fillId="0" borderId="29" xfId="3" applyNumberFormat="1" applyFont="1" applyBorder="1" applyAlignment="1">
      <alignment horizontal="right" vertical="center" readingOrder="1"/>
    </xf>
    <xf numFmtId="173" fontId="10" fillId="0" borderId="29" xfId="3" applyNumberFormat="1" applyFont="1" applyBorder="1" applyAlignment="1">
      <alignment horizontal="right" vertical="center" readingOrder="1"/>
    </xf>
    <xf numFmtId="44" fontId="10" fillId="0" borderId="14" xfId="4" applyFont="1" applyBorder="1" applyAlignment="1">
      <alignment horizontal="right" vertical="center" readingOrder="1"/>
    </xf>
    <xf numFmtId="168" fontId="6" fillId="0" borderId="17" xfId="0" applyNumberFormat="1" applyFont="1" applyFill="1" applyBorder="1" applyAlignment="1" applyProtection="1">
      <alignment horizontal="left" shrinkToFit="1"/>
    </xf>
    <xf numFmtId="0" fontId="5" fillId="2" borderId="19" xfId="0" applyFont="1" applyFill="1" applyBorder="1" applyAlignment="1" applyProtection="1">
      <alignment horizontal="right"/>
      <protection locked="0"/>
    </xf>
    <xf numFmtId="0" fontId="6" fillId="0" borderId="19" xfId="0" applyFont="1" applyFill="1" applyBorder="1" applyProtection="1"/>
    <xf numFmtId="165" fontId="58" fillId="3" borderId="26" xfId="3" applyNumberFormat="1" applyFont="1" applyFill="1" applyBorder="1" applyAlignment="1" applyProtection="1">
      <alignment horizontal="right"/>
      <protection locked="0"/>
    </xf>
    <xf numFmtId="165" fontId="10" fillId="4" borderId="47" xfId="3" applyNumberFormat="1" applyFont="1" applyFill="1" applyBorder="1" applyAlignment="1" applyProtection="1">
      <alignment horizontal="right"/>
      <protection locked="0"/>
    </xf>
    <xf numFmtId="0" fontId="10" fillId="0" borderId="23" xfId="0" applyFont="1" applyFill="1" applyBorder="1" applyProtection="1"/>
    <xf numFmtId="165" fontId="58" fillId="0" borderId="24" xfId="3" applyNumberFormat="1" applyFont="1" applyFill="1" applyBorder="1" applyAlignment="1" applyProtection="1">
      <alignment horizontal="center"/>
      <protection locked="0"/>
    </xf>
    <xf numFmtId="10" fontId="8" fillId="2" borderId="2" xfId="7" applyNumberFormat="1" applyFont="1" applyFill="1" applyBorder="1" applyAlignment="1" applyProtection="1">
      <alignment horizontal="right"/>
      <protection locked="0"/>
    </xf>
    <xf numFmtId="172" fontId="10" fillId="2" borderId="7" xfId="0" applyNumberFormat="1" applyFont="1" applyFill="1" applyBorder="1" applyAlignment="1" applyProtection="1">
      <alignment horizontal="right"/>
      <protection locked="0"/>
    </xf>
    <xf numFmtId="165" fontId="0" fillId="0" borderId="68" xfId="3" applyNumberFormat="1" applyFont="1" applyBorder="1"/>
    <xf numFmtId="165" fontId="42" fillId="0" borderId="10" xfId="3" applyNumberFormat="1" applyFont="1" applyBorder="1"/>
    <xf numFmtId="9" fontId="42" fillId="0" borderId="4" xfId="7" applyFont="1" applyBorder="1"/>
    <xf numFmtId="0" fontId="0" fillId="2" borderId="30" xfId="0" applyFill="1" applyBorder="1" applyAlignment="1" applyProtection="1">
      <alignment horizontal="left" wrapText="1"/>
      <protection locked="0"/>
    </xf>
    <xf numFmtId="0" fontId="11" fillId="3" borderId="0" xfId="0" applyFont="1" applyFill="1" applyBorder="1" applyAlignment="1" applyProtection="1">
      <alignment horizontal="right"/>
      <protection locked="0"/>
    </xf>
    <xf numFmtId="172" fontId="6" fillId="0" borderId="0" xfId="0" applyNumberFormat="1" applyFont="1" applyFill="1" applyAlignment="1" applyProtection="1">
      <alignment horizontal="center" shrinkToFit="1"/>
      <protection hidden="1"/>
    </xf>
    <xf numFmtId="1" fontId="6" fillId="0" borderId="11" xfId="0" applyNumberFormat="1" applyFont="1" applyFill="1" applyBorder="1" applyProtection="1"/>
    <xf numFmtId="165" fontId="8" fillId="0" borderId="3" xfId="3" applyNumberFormat="1" applyFont="1" applyFill="1" applyBorder="1" applyAlignment="1" applyProtection="1">
      <alignment horizontal="center"/>
      <protection locked="0"/>
    </xf>
    <xf numFmtId="1" fontId="9" fillId="0" borderId="3" xfId="0" applyNumberFormat="1" applyFont="1" applyFill="1" applyBorder="1" applyAlignment="1" applyProtection="1">
      <alignment horizontal="center" shrinkToFit="1"/>
      <protection hidden="1"/>
    </xf>
    <xf numFmtId="165" fontId="0" fillId="0" borderId="0" xfId="0" applyNumberFormat="1" applyFill="1" applyBorder="1" applyProtection="1"/>
    <xf numFmtId="165" fontId="0" fillId="0" borderId="29" xfId="3" applyNumberFormat="1" applyFont="1" applyFill="1" applyBorder="1" applyAlignment="1" applyProtection="1">
      <alignment horizontal="right"/>
      <protection hidden="1"/>
    </xf>
    <xf numFmtId="165" fontId="0" fillId="0" borderId="31" xfId="3" applyNumberFormat="1" applyFont="1" applyFill="1" applyBorder="1" applyAlignment="1" applyProtection="1">
      <alignment horizontal="right"/>
      <protection hidden="1"/>
    </xf>
    <xf numFmtId="165" fontId="0" fillId="3" borderId="29" xfId="3" applyNumberFormat="1" applyFont="1" applyFill="1" applyBorder="1" applyAlignment="1" applyProtection="1">
      <alignment horizontal="right"/>
      <protection locked="0"/>
    </xf>
    <xf numFmtId="165" fontId="0" fillId="3" borderId="31" xfId="3" applyNumberFormat="1" applyFont="1" applyFill="1" applyBorder="1" applyAlignment="1" applyProtection="1">
      <alignment horizontal="right"/>
      <protection locked="0"/>
    </xf>
    <xf numFmtId="165" fontId="0" fillId="8" borderId="29" xfId="3" applyNumberFormat="1" applyFont="1" applyFill="1" applyBorder="1" applyAlignment="1" applyProtection="1">
      <alignment horizontal="right"/>
    </xf>
    <xf numFmtId="0" fontId="65"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right"/>
      <protection locked="0"/>
    </xf>
    <xf numFmtId="0" fontId="8" fillId="0" borderId="0" xfId="0" applyFont="1" applyAlignment="1" applyProtection="1"/>
    <xf numFmtId="1" fontId="0" fillId="9" borderId="29" xfId="0" applyNumberFormat="1" applyFill="1" applyBorder="1" applyAlignment="1" applyProtection="1">
      <alignment horizontal="center"/>
    </xf>
    <xf numFmtId="1" fontId="0" fillId="10" borderId="29" xfId="3" applyNumberFormat="1" applyFont="1" applyFill="1" applyBorder="1" applyAlignment="1" applyProtection="1">
      <alignment horizontal="center"/>
    </xf>
    <xf numFmtId="1" fontId="0" fillId="10" borderId="29" xfId="0" applyNumberFormat="1" applyFill="1" applyBorder="1" applyAlignment="1" applyProtection="1">
      <alignment horizontal="center" wrapText="1"/>
    </xf>
    <xf numFmtId="1" fontId="0" fillId="10" borderId="29" xfId="0" applyNumberFormat="1" applyFill="1" applyBorder="1" applyAlignment="1" applyProtection="1">
      <alignment horizontal="center"/>
    </xf>
    <xf numFmtId="0" fontId="71" fillId="0" borderId="0" xfId="8" applyFont="1"/>
    <xf numFmtId="0" fontId="72" fillId="0" borderId="0" xfId="8" applyFont="1"/>
    <xf numFmtId="0" fontId="72" fillId="0" borderId="0" xfId="8" applyFont="1" applyAlignment="1"/>
    <xf numFmtId="0" fontId="73" fillId="11" borderId="0" xfId="8" applyFont="1" applyFill="1"/>
    <xf numFmtId="182" fontId="74" fillId="11" borderId="0" xfId="9" applyNumberFormat="1" applyFont="1" applyFill="1"/>
    <xf numFmtId="6" fontId="71" fillId="0" borderId="0" xfId="8" applyNumberFormat="1" applyFont="1"/>
    <xf numFmtId="0" fontId="73" fillId="0" borderId="0" xfId="8" applyFont="1"/>
    <xf numFmtId="0" fontId="72" fillId="0" borderId="0" xfId="8" applyFont="1" applyAlignment="1">
      <alignment wrapText="1"/>
    </xf>
    <xf numFmtId="14" fontId="74" fillId="12" borderId="0" xfId="8" applyNumberFormat="1" applyFont="1" applyFill="1"/>
    <xf numFmtId="15" fontId="71" fillId="0" borderId="0" xfId="8" applyNumberFormat="1" applyFont="1"/>
    <xf numFmtId="0" fontId="72" fillId="0" borderId="0" xfId="8" applyFont="1" applyAlignment="1">
      <alignment horizontal="center" wrapText="1"/>
    </xf>
    <xf numFmtId="10" fontId="74" fillId="11" borderId="0" xfId="10" applyNumberFormat="1" applyFont="1" applyFill="1"/>
    <xf numFmtId="10" fontId="71" fillId="0" borderId="0" xfId="8" applyNumberFormat="1" applyFont="1"/>
    <xf numFmtId="10" fontId="72" fillId="0" borderId="0" xfId="10" applyNumberFormat="1" applyFont="1" applyFill="1"/>
    <xf numFmtId="0" fontId="72" fillId="0" borderId="33" xfId="8" applyFont="1" applyBorder="1" applyAlignment="1">
      <alignment wrapText="1"/>
    </xf>
    <xf numFmtId="0" fontId="72" fillId="0" borderId="14" xfId="8" applyFont="1" applyBorder="1" applyAlignment="1">
      <alignment wrapText="1"/>
    </xf>
    <xf numFmtId="0" fontId="72" fillId="0" borderId="15" xfId="8" applyFont="1" applyBorder="1" applyAlignment="1">
      <alignment wrapText="1"/>
    </xf>
    <xf numFmtId="0" fontId="72" fillId="0" borderId="29" xfId="8" applyFont="1" applyBorder="1" applyAlignment="1">
      <alignment wrapText="1"/>
    </xf>
    <xf numFmtId="0" fontId="72" fillId="0" borderId="34" xfId="8" applyFont="1" applyBorder="1"/>
    <xf numFmtId="0" fontId="72" fillId="0" borderId="12" xfId="8" applyFont="1" applyBorder="1"/>
    <xf numFmtId="0" fontId="72" fillId="0" borderId="56" xfId="8" applyFont="1" applyBorder="1" applyAlignment="1"/>
    <xf numFmtId="0" fontId="72" fillId="0" borderId="21" xfId="8" applyFont="1" applyBorder="1"/>
    <xf numFmtId="0" fontId="72" fillId="0" borderId="0" xfId="8" applyFont="1" applyBorder="1"/>
    <xf numFmtId="0" fontId="72" fillId="0" borderId="35" xfId="8" applyFont="1" applyBorder="1"/>
    <xf numFmtId="0" fontId="72" fillId="0" borderId="6" xfId="8" applyFont="1" applyBorder="1"/>
    <xf numFmtId="0" fontId="72" fillId="0" borderId="11" xfId="8" applyFont="1" applyBorder="1" applyAlignment="1"/>
    <xf numFmtId="0" fontId="72" fillId="0" borderId="22" xfId="8" applyFont="1" applyBorder="1"/>
    <xf numFmtId="0" fontId="72" fillId="0" borderId="33" xfId="8" applyFont="1" applyBorder="1" applyAlignment="1">
      <alignment horizontal="center"/>
    </xf>
    <xf numFmtId="0" fontId="72" fillId="0" borderId="14" xfId="8" applyFont="1" applyBorder="1"/>
    <xf numFmtId="0" fontId="72" fillId="0" borderId="15" xfId="8" applyFont="1" applyBorder="1" applyAlignment="1">
      <alignment horizontal="left"/>
    </xf>
    <xf numFmtId="183" fontId="74" fillId="11" borderId="29" xfId="9" applyNumberFormat="1" applyFont="1" applyFill="1" applyBorder="1"/>
    <xf numFmtId="14" fontId="74" fillId="11" borderId="29" xfId="8" applyNumberFormat="1" applyFont="1" applyFill="1" applyBorder="1"/>
    <xf numFmtId="0" fontId="72" fillId="0" borderId="29" xfId="8" applyFont="1" applyBorder="1"/>
    <xf numFmtId="183" fontId="72" fillId="0" borderId="29" xfId="8" applyNumberFormat="1" applyFont="1" applyBorder="1"/>
    <xf numFmtId="183" fontId="72" fillId="0" borderId="29" xfId="9" applyNumberFormat="1" applyFont="1" applyBorder="1"/>
    <xf numFmtId="14" fontId="72" fillId="0" borderId="0" xfId="8" applyNumberFormat="1" applyFont="1"/>
    <xf numFmtId="0" fontId="74" fillId="11" borderId="29" xfId="8" applyFont="1" applyFill="1" applyBorder="1"/>
    <xf numFmtId="0" fontId="72" fillId="0" borderId="15" xfId="8" applyFont="1" applyBorder="1" applyAlignment="1"/>
    <xf numFmtId="183" fontId="72" fillId="0" borderId="29" xfId="9" applyNumberFormat="1" applyFont="1" applyFill="1" applyBorder="1"/>
    <xf numFmtId="0" fontId="72" fillId="0" borderId="29" xfId="8" applyFont="1" applyFill="1" applyBorder="1"/>
    <xf numFmtId="0" fontId="72" fillId="0" borderId="33" xfId="8" applyFont="1" applyBorder="1"/>
    <xf numFmtId="183" fontId="71" fillId="0" borderId="29" xfId="8" applyNumberFormat="1" applyFont="1" applyBorder="1"/>
    <xf numFmtId="183" fontId="71" fillId="0" borderId="29" xfId="9" applyNumberFormat="1" applyFont="1" applyBorder="1"/>
    <xf numFmtId="0" fontId="72" fillId="0" borderId="0" xfId="8" applyFont="1" applyAlignment="1">
      <alignment horizontal="right"/>
    </xf>
    <xf numFmtId="3" fontId="72" fillId="0" borderId="0" xfId="8" applyNumberFormat="1" applyFont="1" applyFill="1"/>
    <xf numFmtId="183" fontId="72" fillId="0" borderId="0" xfId="9" applyNumberFormat="1" applyFont="1" applyFill="1"/>
    <xf numFmtId="183" fontId="71" fillId="0" borderId="9" xfId="8" applyNumberFormat="1" applyFont="1" applyBorder="1"/>
    <xf numFmtId="183" fontId="72" fillId="0" borderId="0" xfId="8" applyNumberFormat="1" applyFont="1"/>
    <xf numFmtId="0" fontId="72" fillId="0" borderId="0" xfId="8" applyFont="1" applyFill="1"/>
    <xf numFmtId="183" fontId="74" fillId="0" borderId="0" xfId="9" applyNumberFormat="1" applyFont="1" applyFill="1"/>
    <xf numFmtId="183" fontId="74" fillId="0" borderId="6" xfId="9" applyNumberFormat="1" applyFont="1" applyFill="1" applyBorder="1"/>
    <xf numFmtId="183" fontId="72" fillId="0" borderId="0" xfId="9" applyNumberFormat="1" applyFont="1"/>
    <xf numFmtId="183" fontId="71" fillId="0" borderId="9" xfId="9" applyNumberFormat="1" applyFont="1" applyBorder="1"/>
    <xf numFmtId="183" fontId="72" fillId="0" borderId="0" xfId="8" applyNumberFormat="1" applyFont="1" applyAlignment="1"/>
    <xf numFmtId="183" fontId="72" fillId="0" borderId="0" xfId="8" applyNumberFormat="1" applyFont="1" applyFill="1"/>
    <xf numFmtId="10" fontId="72" fillId="0" borderId="0" xfId="8" applyNumberFormat="1" applyFont="1" applyAlignment="1"/>
    <xf numFmtId="10" fontId="72" fillId="0" borderId="0" xfId="8" applyNumberFormat="1" applyFont="1" applyFill="1"/>
    <xf numFmtId="10" fontId="72" fillId="0" borderId="0" xfId="8" applyNumberFormat="1" applyFont="1"/>
    <xf numFmtId="183" fontId="72" fillId="0" borderId="0" xfId="9" applyNumberFormat="1" applyFont="1" applyAlignment="1"/>
    <xf numFmtId="183" fontId="72" fillId="0" borderId="6" xfId="9" applyNumberFormat="1" applyFont="1" applyFill="1" applyBorder="1"/>
    <xf numFmtId="183" fontId="72" fillId="0" borderId="0" xfId="9" applyNumberFormat="1" applyFont="1" applyFill="1" applyAlignment="1"/>
    <xf numFmtId="10" fontId="72" fillId="0" borderId="6" xfId="10" applyNumberFormat="1" applyFont="1" applyFill="1" applyBorder="1" applyAlignment="1"/>
    <xf numFmtId="44" fontId="71" fillId="0" borderId="45" xfId="9" applyNumberFormat="1" applyFont="1" applyBorder="1"/>
    <xf numFmtId="0" fontId="72" fillId="0" borderId="0" xfId="11" applyFont="1"/>
    <xf numFmtId="0" fontId="4" fillId="0" borderId="0" xfId="11"/>
    <xf numFmtId="0" fontId="75" fillId="0" borderId="0" xfId="11" applyFont="1"/>
    <xf numFmtId="0" fontId="4" fillId="0" borderId="0" xfId="11" applyAlignment="1">
      <alignment horizontal="right"/>
    </xf>
    <xf numFmtId="14" fontId="4" fillId="0" borderId="0" xfId="11" applyNumberFormat="1"/>
    <xf numFmtId="0" fontId="71" fillId="0" borderId="0" xfId="11" applyFont="1"/>
    <xf numFmtId="0" fontId="20" fillId="0" borderId="0" xfId="11" applyFont="1"/>
    <xf numFmtId="0" fontId="76" fillId="0" borderId="0" xfId="11" applyFont="1"/>
    <xf numFmtId="0" fontId="4" fillId="0" borderId="0" xfId="11" applyBorder="1"/>
    <xf numFmtId="0" fontId="10" fillId="0" borderId="0" xfId="11" applyFont="1"/>
    <xf numFmtId="0" fontId="77" fillId="0" borderId="0" xfId="11" applyFont="1"/>
    <xf numFmtId="0" fontId="20" fillId="0" borderId="0" xfId="11" quotePrefix="1" applyFont="1" applyAlignment="1">
      <alignment horizontal="left" indent="1"/>
    </xf>
    <xf numFmtId="0" fontId="4" fillId="0" borderId="0" xfId="11" applyFill="1"/>
    <xf numFmtId="182" fontId="4" fillId="0" borderId="6" xfId="11" applyNumberFormat="1" applyFill="1" applyBorder="1"/>
    <xf numFmtId="182" fontId="4" fillId="0" borderId="0" xfId="11" applyNumberFormat="1" applyFill="1"/>
    <xf numFmtId="0" fontId="53" fillId="0" borderId="0" xfId="11" applyFont="1"/>
    <xf numFmtId="0" fontId="65" fillId="0" borderId="0" xfId="11" applyFont="1"/>
    <xf numFmtId="182" fontId="4" fillId="0" borderId="14" xfId="11" applyNumberFormat="1" applyFill="1" applyBorder="1"/>
    <xf numFmtId="182" fontId="4" fillId="0" borderId="0" xfId="11" applyNumberFormat="1" applyFill="1" applyBorder="1"/>
    <xf numFmtId="0" fontId="77" fillId="0" borderId="0" xfId="11" quotePrefix="1" applyFont="1"/>
    <xf numFmtId="3" fontId="4" fillId="0" borderId="6" xfId="11" applyNumberFormat="1" applyFill="1" applyBorder="1" applyAlignment="1">
      <alignment horizontal="right"/>
    </xf>
    <xf numFmtId="10" fontId="4" fillId="0" borderId="14" xfId="11" applyNumberFormat="1" applyFill="1" applyBorder="1" applyAlignment="1">
      <alignment horizontal="right"/>
    </xf>
    <xf numFmtId="184" fontId="4" fillId="0" borderId="6" xfId="11" applyNumberFormat="1" applyFill="1" applyBorder="1"/>
    <xf numFmtId="0" fontId="20" fillId="0" borderId="0" xfId="11" quotePrefix="1" applyFont="1" applyAlignment="1">
      <alignment horizontal="right"/>
    </xf>
    <xf numFmtId="10" fontId="4" fillId="0" borderId="14" xfId="11" applyNumberFormat="1" applyFill="1" applyBorder="1"/>
    <xf numFmtId="10" fontId="4" fillId="0" borderId="6" xfId="7" applyNumberFormat="1" applyFill="1" applyBorder="1"/>
    <xf numFmtId="182" fontId="4" fillId="0" borderId="0" xfId="11" applyNumberFormat="1"/>
    <xf numFmtId="0" fontId="20" fillId="0" borderId="0" xfId="11" applyFont="1" applyAlignment="1">
      <alignment horizontal="right"/>
    </xf>
    <xf numFmtId="0" fontId="20" fillId="0" borderId="0" xfId="11" applyFont="1" applyAlignment="1">
      <alignment wrapText="1"/>
    </xf>
    <xf numFmtId="0" fontId="4" fillId="0" borderId="0" xfId="11" applyAlignment="1">
      <alignment wrapText="1"/>
    </xf>
    <xf numFmtId="0" fontId="53" fillId="0" borderId="0" xfId="11" applyFont="1" applyAlignment="1"/>
    <xf numFmtId="10" fontId="74" fillId="11" borderId="0" xfId="8" applyNumberFormat="1" applyFont="1" applyFill="1"/>
    <xf numFmtId="14" fontId="74" fillId="11" borderId="0" xfId="8" applyNumberFormat="1" applyFont="1" applyFill="1"/>
    <xf numFmtId="183" fontId="72" fillId="11" borderId="0" xfId="9" applyNumberFormat="1" applyFont="1" applyFill="1"/>
    <xf numFmtId="183" fontId="72" fillId="11" borderId="0" xfId="9" applyNumberFormat="1" applyFont="1" applyFill="1" applyBorder="1"/>
    <xf numFmtId="183" fontId="74" fillId="11" borderId="6" xfId="9" applyNumberFormat="1" applyFont="1" applyFill="1" applyBorder="1"/>
    <xf numFmtId="0" fontId="6" fillId="0" borderId="0" xfId="0" applyFont="1" applyAlignment="1">
      <alignment shrinkToFit="1"/>
    </xf>
    <xf numFmtId="0" fontId="6" fillId="0" borderId="0" xfId="0" applyFont="1" applyAlignment="1" applyProtection="1">
      <alignment shrinkToFit="1"/>
    </xf>
    <xf numFmtId="0" fontId="6" fillId="0" borderId="0" xfId="0" applyFont="1" applyFill="1" applyAlignment="1">
      <alignment shrinkToFit="1"/>
    </xf>
    <xf numFmtId="49" fontId="6" fillId="3" borderId="0" xfId="0" applyNumberFormat="1" applyFont="1" applyFill="1" applyAlignment="1" applyProtection="1">
      <alignment horizontal="right" shrinkToFit="1"/>
      <protection locked="0"/>
    </xf>
    <xf numFmtId="0" fontId="53" fillId="0" borderId="15" xfId="11" applyFont="1" applyBorder="1" applyAlignment="1">
      <alignment horizontal="center"/>
    </xf>
    <xf numFmtId="9" fontId="53" fillId="0" borderId="29" xfId="11" applyNumberFormat="1" applyFont="1" applyBorder="1" applyAlignment="1">
      <alignment horizontal="center"/>
    </xf>
    <xf numFmtId="10" fontId="53" fillId="0" borderId="15" xfId="11" quotePrefix="1" applyNumberFormat="1" applyFont="1" applyBorder="1" applyAlignment="1">
      <alignment horizontal="center"/>
    </xf>
    <xf numFmtId="8" fontId="53" fillId="0" borderId="29" xfId="11" applyNumberFormat="1" applyFont="1" applyBorder="1" applyAlignment="1">
      <alignment horizontal="center"/>
    </xf>
    <xf numFmtId="0" fontId="53" fillId="0" borderId="29" xfId="11" quotePrefix="1" applyFont="1" applyBorder="1" applyAlignment="1">
      <alignment horizontal="center"/>
    </xf>
    <xf numFmtId="0" fontId="53" fillId="0" borderId="15" xfId="11" quotePrefix="1" applyFont="1" applyBorder="1" applyAlignment="1">
      <alignment horizontal="center"/>
    </xf>
    <xf numFmtId="9" fontId="6" fillId="0" borderId="0" xfId="7" applyFont="1" applyFill="1" applyProtection="1">
      <protection hidden="1"/>
    </xf>
    <xf numFmtId="0" fontId="4" fillId="3" borderId="0" xfId="0" applyFont="1" applyFill="1" applyProtection="1">
      <protection locked="0"/>
    </xf>
    <xf numFmtId="0" fontId="4" fillId="0" borderId="0" xfId="0" applyFont="1"/>
    <xf numFmtId="0" fontId="20" fillId="0" borderId="0" xfId="0" applyFont="1"/>
    <xf numFmtId="0" fontId="72" fillId="0" borderId="0" xfId="11" applyFont="1" applyFill="1"/>
    <xf numFmtId="0" fontId="4" fillId="0" borderId="0" xfId="11" applyFill="1" applyBorder="1"/>
    <xf numFmtId="1" fontId="4" fillId="0" borderId="0" xfId="11" applyNumberFormat="1" applyFill="1" applyBorder="1"/>
    <xf numFmtId="178" fontId="53" fillId="0" borderId="29" xfId="11" applyNumberFormat="1" applyFont="1" applyFill="1" applyBorder="1" applyAlignment="1">
      <alignment horizontal="center"/>
    </xf>
    <xf numFmtId="0" fontId="6" fillId="2" borderId="29" xfId="0" applyFont="1" applyFill="1" applyBorder="1" applyAlignment="1" applyProtection="1">
      <alignment horizontal="left" readingOrder="1"/>
      <protection locked="0"/>
    </xf>
    <xf numFmtId="165" fontId="10" fillId="0" borderId="2" xfId="3" applyNumberFormat="1" applyFont="1" applyFill="1" applyBorder="1" applyAlignment="1">
      <alignment horizontal="right"/>
    </xf>
    <xf numFmtId="165" fontId="6" fillId="2" borderId="0" xfId="3" applyNumberFormat="1" applyFont="1" applyFill="1" applyBorder="1" applyAlignment="1" applyProtection="1">
      <alignment horizontal="right"/>
      <protection locked="0"/>
    </xf>
    <xf numFmtId="165" fontId="6" fillId="2" borderId="9" xfId="3" applyNumberFormat="1" applyFont="1" applyFill="1" applyBorder="1" applyAlignment="1" applyProtection="1">
      <alignment horizontal="right"/>
      <protection locked="0"/>
    </xf>
    <xf numFmtId="0" fontId="58" fillId="0" borderId="2" xfId="0" applyFont="1" applyFill="1" applyBorder="1" applyAlignment="1" applyProtection="1">
      <alignment horizontal="right"/>
    </xf>
    <xf numFmtId="9" fontId="9" fillId="0" borderId="7" xfId="7" applyNumberFormat="1" applyFont="1" applyFill="1" applyBorder="1" applyAlignment="1" applyProtection="1">
      <alignment horizontal="right"/>
    </xf>
    <xf numFmtId="165" fontId="57" fillId="0" borderId="0" xfId="3" applyNumberFormat="1" applyFont="1" applyFill="1" applyBorder="1" applyAlignment="1" applyProtection="1">
      <alignment horizontal="center"/>
    </xf>
    <xf numFmtId="0" fontId="6" fillId="0" borderId="0" xfId="0" applyFont="1" applyFill="1" applyAlignment="1" applyProtection="1">
      <alignment horizontal="left"/>
    </xf>
    <xf numFmtId="43" fontId="6" fillId="0" borderId="0" xfId="3" applyFont="1" applyFill="1" applyAlignment="1" applyProtection="1">
      <alignment shrinkToFit="1"/>
    </xf>
    <xf numFmtId="165" fontId="6" fillId="0" borderId="0" xfId="3" applyNumberFormat="1" applyFont="1" applyFill="1" applyAlignment="1" applyProtection="1">
      <alignment horizontal="right"/>
    </xf>
    <xf numFmtId="43" fontId="6" fillId="0" borderId="0" xfId="3" applyFont="1" applyFill="1" applyProtection="1"/>
    <xf numFmtId="165" fontId="4" fillId="0" borderId="9" xfId="3" applyNumberFormat="1" applyFont="1" applyFill="1" applyBorder="1" applyAlignment="1" applyProtection="1"/>
    <xf numFmtId="0" fontId="6" fillId="0" borderId="6" xfId="0" applyFont="1" applyFill="1" applyBorder="1" applyAlignment="1" applyProtection="1">
      <alignment horizontal="left" wrapText="1"/>
    </xf>
    <xf numFmtId="0" fontId="10" fillId="0" borderId="6" xfId="0" applyFont="1" applyFill="1" applyBorder="1" applyAlignment="1" applyProtection="1"/>
    <xf numFmtId="0" fontId="6" fillId="0" borderId="6" xfId="0" applyFont="1" applyFill="1" applyBorder="1" applyAlignment="1" applyProtection="1">
      <alignment wrapText="1"/>
    </xf>
    <xf numFmtId="0" fontId="6" fillId="0" borderId="6" xfId="0" applyFont="1" applyFill="1" applyBorder="1" applyAlignment="1" applyProtection="1">
      <alignment horizontal="right" wrapText="1"/>
    </xf>
    <xf numFmtId="43" fontId="10" fillId="2" borderId="35" xfId="3" applyFont="1" applyFill="1" applyBorder="1" applyAlignment="1" applyProtection="1">
      <alignment horizontal="right" wrapText="1"/>
    </xf>
    <xf numFmtId="0" fontId="10" fillId="2" borderId="22" xfId="0" applyFont="1" applyFill="1" applyBorder="1" applyAlignment="1" applyProtection="1">
      <alignment horizontal="right" wrapText="1"/>
    </xf>
    <xf numFmtId="43" fontId="10" fillId="0" borderId="6" xfId="3" applyFont="1" applyFill="1" applyBorder="1" applyAlignment="1" applyProtection="1">
      <alignment horizontal="right" wrapText="1"/>
    </xf>
    <xf numFmtId="165" fontId="10" fillId="0" borderId="22" xfId="0" applyNumberFormat="1" applyFont="1" applyFill="1" applyBorder="1" applyAlignment="1" applyProtection="1">
      <alignment horizontal="left" wrapText="1"/>
    </xf>
    <xf numFmtId="165" fontId="6" fillId="0" borderId="35" xfId="3" applyNumberFormat="1" applyFont="1" applyFill="1" applyBorder="1" applyAlignment="1" applyProtection="1">
      <alignment horizontal="right" wrapText="1"/>
    </xf>
    <xf numFmtId="165" fontId="6" fillId="0" borderId="48" xfId="3" applyNumberFormat="1" applyFont="1" applyFill="1" applyBorder="1" applyAlignment="1" applyProtection="1">
      <alignment horizontal="right" wrapText="1"/>
    </xf>
    <xf numFmtId="165" fontId="6" fillId="0" borderId="11" xfId="3" applyNumberFormat="1" applyFont="1" applyFill="1" applyBorder="1" applyAlignment="1" applyProtection="1">
      <alignment horizontal="right" wrapText="1"/>
    </xf>
    <xf numFmtId="165" fontId="10" fillId="0" borderId="6" xfId="0" applyNumberFormat="1" applyFont="1" applyFill="1" applyBorder="1" applyAlignment="1" applyProtection="1">
      <alignment horizontal="right" wrapText="1"/>
    </xf>
    <xf numFmtId="165" fontId="6" fillId="0" borderId="48" xfId="0" applyNumberFormat="1" applyFont="1" applyFill="1" applyBorder="1" applyAlignment="1" applyProtection="1">
      <alignment horizontal="right" wrapText="1"/>
    </xf>
    <xf numFmtId="0" fontId="6" fillId="0" borderId="0" xfId="0" applyFont="1" applyFill="1" applyBorder="1" applyAlignment="1" applyProtection="1">
      <alignment horizontal="right" wrapText="1"/>
    </xf>
    <xf numFmtId="0" fontId="6" fillId="0" borderId="0" xfId="0" applyFont="1" applyFill="1" applyBorder="1" applyAlignment="1" applyProtection="1">
      <alignment wrapText="1"/>
    </xf>
    <xf numFmtId="0" fontId="6" fillId="0" borderId="0" xfId="0" applyFont="1" applyAlignment="1" applyProtection="1">
      <alignment horizontal="left"/>
    </xf>
    <xf numFmtId="0" fontId="6" fillId="0" borderId="0" xfId="0" applyFont="1" applyProtection="1"/>
    <xf numFmtId="165" fontId="6" fillId="0" borderId="12" xfId="0" applyNumberFormat="1" applyFont="1" applyFill="1" applyBorder="1" applyAlignment="1" applyProtection="1">
      <alignment shrinkToFit="1"/>
      <protection hidden="1"/>
    </xf>
    <xf numFmtId="43" fontId="6" fillId="2" borderId="32" xfId="3" applyFont="1" applyFill="1" applyBorder="1" applyAlignment="1" applyProtection="1">
      <alignment shrinkToFit="1"/>
      <protection locked="0"/>
    </xf>
    <xf numFmtId="165" fontId="6" fillId="2" borderId="30" xfId="3" applyNumberFormat="1" applyFont="1" applyFill="1" applyBorder="1" applyAlignment="1" applyProtection="1">
      <alignment horizontal="right" shrinkToFit="1"/>
      <protection locked="0"/>
    </xf>
    <xf numFmtId="165" fontId="6" fillId="0" borderId="13" xfId="3" applyNumberFormat="1" applyFont="1" applyBorder="1" applyAlignment="1" applyProtection="1">
      <alignment shrinkToFit="1"/>
    </xf>
    <xf numFmtId="0" fontId="6" fillId="2" borderId="0" xfId="0" applyNumberFormat="1" applyFont="1" applyFill="1" applyAlignment="1" applyProtection="1">
      <alignment horizontal="left" wrapText="1"/>
      <protection locked="0"/>
    </xf>
    <xf numFmtId="165" fontId="6" fillId="3" borderId="32" xfId="3" applyNumberFormat="1" applyFont="1" applyFill="1" applyBorder="1" applyAlignment="1" applyProtection="1">
      <alignment horizontal="right" shrinkToFit="1"/>
      <protection locked="0"/>
    </xf>
    <xf numFmtId="165" fontId="6" fillId="3" borderId="30" xfId="3" applyNumberFormat="1" applyFont="1" applyFill="1" applyBorder="1" applyAlignment="1" applyProtection="1">
      <alignment horizontal="right" shrinkToFit="1"/>
      <protection locked="0"/>
    </xf>
    <xf numFmtId="165" fontId="6" fillId="3" borderId="13" xfId="3" applyNumberFormat="1" applyFont="1" applyFill="1" applyBorder="1" applyAlignment="1" applyProtection="1">
      <alignment horizontal="right" shrinkToFit="1"/>
      <protection locked="0"/>
    </xf>
    <xf numFmtId="165" fontId="6" fillId="0" borderId="30" xfId="3" applyNumberFormat="1" applyFont="1" applyFill="1" applyBorder="1" applyAlignment="1" applyProtection="1">
      <alignment horizontal="right" shrinkToFit="1"/>
    </xf>
    <xf numFmtId="165" fontId="6" fillId="0" borderId="30" xfId="3" applyNumberFormat="1" applyFont="1" applyBorder="1" applyAlignment="1" applyProtection="1">
      <alignment horizontal="right" shrinkToFit="1"/>
    </xf>
    <xf numFmtId="165" fontId="10" fillId="0" borderId="0" xfId="0" applyNumberFormat="1" applyFont="1" applyBorder="1" applyAlignment="1" applyProtection="1">
      <alignment horizontal="right" shrinkToFit="1"/>
    </xf>
    <xf numFmtId="0" fontId="6" fillId="0" borderId="0" xfId="0" applyFont="1" applyBorder="1" applyAlignment="1" applyProtection="1">
      <alignment horizontal="right"/>
    </xf>
    <xf numFmtId="0" fontId="6" fillId="0" borderId="0" xfId="0" applyFont="1" applyBorder="1" applyProtection="1"/>
    <xf numFmtId="165" fontId="6" fillId="0" borderId="0" xfId="0" applyNumberFormat="1" applyFont="1" applyFill="1" applyBorder="1" applyAlignment="1" applyProtection="1">
      <alignment shrinkToFit="1"/>
      <protection hidden="1"/>
    </xf>
    <xf numFmtId="165" fontId="6" fillId="0" borderId="13" xfId="0" applyNumberFormat="1" applyFont="1" applyFill="1" applyBorder="1" applyAlignment="1" applyProtection="1">
      <alignment shrinkToFit="1"/>
      <protection hidden="1"/>
    </xf>
    <xf numFmtId="43" fontId="6" fillId="3" borderId="30" xfId="3" applyFont="1" applyFill="1" applyBorder="1" applyAlignment="1" applyProtection="1">
      <alignment shrinkToFit="1"/>
      <protection locked="0"/>
    </xf>
    <xf numFmtId="43" fontId="6" fillId="2" borderId="30" xfId="3" applyFont="1" applyFill="1" applyBorder="1" applyAlignment="1" applyProtection="1">
      <alignment shrinkToFit="1"/>
      <protection locked="0"/>
    </xf>
    <xf numFmtId="0" fontId="10" fillId="0" borderId="14" xfId="0" applyFont="1" applyFill="1" applyBorder="1" applyAlignment="1" applyProtection="1">
      <alignment horizontal="left"/>
    </xf>
    <xf numFmtId="165" fontId="10" fillId="0" borderId="15" xfId="0" applyNumberFormat="1" applyFont="1" applyFill="1" applyBorder="1" applyAlignment="1" applyProtection="1">
      <alignment shrinkToFit="1"/>
    </xf>
    <xf numFmtId="0" fontId="10" fillId="0" borderId="29" xfId="0" applyFont="1" applyFill="1" applyBorder="1" applyAlignment="1" applyProtection="1">
      <alignment shrinkToFit="1"/>
    </xf>
    <xf numFmtId="165" fontId="10" fillId="0" borderId="29" xfId="0" applyNumberFormat="1" applyFont="1" applyFill="1" applyBorder="1" applyAlignment="1" applyProtection="1">
      <alignment horizontal="right" shrinkToFit="1"/>
    </xf>
    <xf numFmtId="0" fontId="6" fillId="0" borderId="14" xfId="0" applyNumberFormat="1" applyFont="1" applyFill="1" applyBorder="1" applyAlignment="1" applyProtection="1">
      <alignment horizontal="left" wrapText="1"/>
      <protection locked="0"/>
    </xf>
    <xf numFmtId="165" fontId="10" fillId="0" borderId="33" xfId="0" applyNumberFormat="1" applyFont="1" applyFill="1" applyBorder="1" applyAlignment="1" applyProtection="1">
      <alignment horizontal="right" shrinkToFit="1"/>
    </xf>
    <xf numFmtId="165" fontId="10" fillId="0" borderId="15" xfId="0" applyNumberFormat="1" applyFont="1" applyFill="1" applyBorder="1" applyAlignment="1" applyProtection="1">
      <alignment horizontal="right" shrinkToFit="1"/>
    </xf>
    <xf numFmtId="165" fontId="10" fillId="0" borderId="14" xfId="0" applyNumberFormat="1" applyFont="1" applyFill="1" applyBorder="1" applyAlignment="1" applyProtection="1">
      <alignment horizontal="right" shrinkToFit="1"/>
    </xf>
    <xf numFmtId="0" fontId="10" fillId="0" borderId="0" xfId="0" applyFont="1" applyFill="1" applyBorder="1" applyAlignment="1" applyProtection="1">
      <alignment horizontal="right"/>
    </xf>
    <xf numFmtId="165" fontId="6" fillId="3" borderId="30" xfId="0" applyNumberFormat="1" applyFont="1" applyFill="1" applyBorder="1" applyAlignment="1" applyProtection="1">
      <alignment horizontal="right" shrinkToFit="1"/>
      <protection locked="0"/>
    </xf>
    <xf numFmtId="165" fontId="6" fillId="2" borderId="30" xfId="3" applyNumberFormat="1" applyFont="1" applyFill="1" applyBorder="1" applyAlignment="1" applyProtection="1">
      <alignment horizontal="right" shrinkToFit="1"/>
    </xf>
    <xf numFmtId="165" fontId="10" fillId="0" borderId="33" xfId="0" applyNumberFormat="1" applyFont="1" applyFill="1" applyBorder="1" applyAlignment="1" applyProtection="1">
      <alignment shrinkToFit="1"/>
    </xf>
    <xf numFmtId="165" fontId="10" fillId="0" borderId="29" xfId="0" applyNumberFormat="1" applyFont="1" applyFill="1" applyBorder="1" applyAlignment="1" applyProtection="1">
      <alignment shrinkToFit="1"/>
    </xf>
    <xf numFmtId="165" fontId="6" fillId="3" borderId="30" xfId="3" applyNumberFormat="1" applyFont="1" applyFill="1" applyBorder="1" applyAlignment="1" applyProtection="1">
      <alignment horizontal="right" shrinkToFit="1"/>
    </xf>
    <xf numFmtId="0" fontId="10" fillId="0" borderId="0" xfId="0" applyFont="1" applyBorder="1" applyProtection="1"/>
    <xf numFmtId="165" fontId="6" fillId="3" borderId="30" xfId="3" applyNumberFormat="1" applyFont="1" applyFill="1" applyBorder="1" applyAlignment="1" applyProtection="1">
      <alignment shrinkToFit="1"/>
      <protection locked="0"/>
    </xf>
    <xf numFmtId="1" fontId="6" fillId="0" borderId="0" xfId="0" applyNumberFormat="1" applyFont="1" applyBorder="1" applyProtection="1"/>
    <xf numFmtId="0" fontId="10" fillId="0" borderId="16" xfId="0" applyFont="1" applyFill="1" applyBorder="1" applyAlignment="1" applyProtection="1">
      <alignment horizontal="left"/>
    </xf>
    <xf numFmtId="165" fontId="10" fillId="0" borderId="64" xfId="0" applyNumberFormat="1" applyFont="1" applyFill="1" applyBorder="1" applyAlignment="1" applyProtection="1">
      <alignment shrinkToFit="1"/>
    </xf>
    <xf numFmtId="0" fontId="10" fillId="0" borderId="42" xfId="0" applyFont="1" applyFill="1" applyBorder="1" applyAlignment="1" applyProtection="1">
      <alignment shrinkToFit="1"/>
    </xf>
    <xf numFmtId="165" fontId="10" fillId="0" borderId="42" xfId="0" applyNumberFormat="1" applyFont="1" applyFill="1" applyBorder="1" applyAlignment="1" applyProtection="1">
      <alignment horizontal="right" shrinkToFit="1"/>
    </xf>
    <xf numFmtId="165" fontId="6" fillId="0" borderId="16" xfId="0" applyNumberFormat="1" applyFont="1" applyFill="1" applyBorder="1" applyAlignment="1" applyProtection="1">
      <alignment horizontal="left" wrapText="1"/>
      <protection locked="0"/>
    </xf>
    <xf numFmtId="165" fontId="10" fillId="0" borderId="62" xfId="0" applyNumberFormat="1" applyFont="1" applyFill="1" applyBorder="1" applyAlignment="1" applyProtection="1">
      <alignment horizontal="right" shrinkToFit="1"/>
    </xf>
    <xf numFmtId="165" fontId="10" fillId="0" borderId="16" xfId="0" applyNumberFormat="1" applyFont="1" applyFill="1" applyBorder="1" applyAlignment="1" applyProtection="1">
      <alignment horizontal="right" shrinkToFit="1"/>
    </xf>
    <xf numFmtId="0" fontId="10" fillId="0" borderId="0" xfId="0" applyFont="1" applyFill="1" applyAlignment="1" applyProtection="1">
      <alignment horizontal="left"/>
    </xf>
    <xf numFmtId="165" fontId="10" fillId="0" borderId="13" xfId="0" applyNumberFormat="1" applyFont="1" applyFill="1" applyBorder="1" applyAlignment="1" applyProtection="1">
      <alignment shrinkToFit="1"/>
    </xf>
    <xf numFmtId="0" fontId="10" fillId="0" borderId="30" xfId="0" applyFont="1" applyFill="1" applyBorder="1" applyAlignment="1" applyProtection="1">
      <alignment shrinkToFit="1"/>
    </xf>
    <xf numFmtId="165" fontId="10" fillId="0" borderId="30" xfId="0" applyNumberFormat="1" applyFont="1" applyFill="1" applyBorder="1" applyAlignment="1" applyProtection="1">
      <alignment horizontal="right" shrinkToFit="1"/>
    </xf>
    <xf numFmtId="165" fontId="10" fillId="0" borderId="72" xfId="3" applyNumberFormat="1" applyFont="1" applyFill="1" applyBorder="1" applyAlignment="1" applyProtection="1">
      <alignment shrinkToFit="1"/>
    </xf>
    <xf numFmtId="165" fontId="10" fillId="0" borderId="0" xfId="0" applyNumberFormat="1" applyFont="1" applyFill="1" applyAlignment="1" applyProtection="1">
      <alignment horizontal="left" wrapText="1"/>
    </xf>
    <xf numFmtId="165" fontId="10" fillId="0" borderId="32" xfId="0" applyNumberFormat="1" applyFont="1" applyFill="1" applyBorder="1" applyAlignment="1" applyProtection="1">
      <alignment horizontal="right" shrinkToFit="1"/>
    </xf>
    <xf numFmtId="165" fontId="10" fillId="0" borderId="13" xfId="0" applyNumberFormat="1" applyFont="1" applyFill="1" applyBorder="1" applyAlignment="1" applyProtection="1">
      <alignment horizontal="right" shrinkToFit="1"/>
    </xf>
    <xf numFmtId="165" fontId="10" fillId="0" borderId="0" xfId="0" applyNumberFormat="1" applyFont="1" applyFill="1" applyBorder="1" applyAlignment="1" applyProtection="1">
      <alignment horizontal="right" shrinkToFit="1"/>
    </xf>
    <xf numFmtId="0" fontId="10" fillId="0" borderId="0" xfId="0" applyFont="1" applyProtection="1"/>
    <xf numFmtId="165" fontId="6" fillId="0" borderId="0" xfId="3" applyNumberFormat="1" applyFont="1" applyAlignment="1" applyProtection="1">
      <alignment horizontal="right"/>
    </xf>
    <xf numFmtId="43" fontId="6" fillId="0" borderId="0" xfId="3" applyFont="1" applyProtection="1"/>
    <xf numFmtId="165" fontId="10" fillId="0" borderId="0" xfId="0" applyNumberFormat="1" applyFont="1" applyAlignment="1" applyProtection="1">
      <alignment horizontal="right"/>
    </xf>
    <xf numFmtId="165" fontId="6" fillId="0" borderId="0" xfId="0" applyNumberFormat="1" applyFont="1" applyAlignment="1" applyProtection="1">
      <alignment horizontal="right"/>
    </xf>
    <xf numFmtId="165" fontId="6" fillId="0" borderId="0" xfId="3" applyNumberFormat="1" applyFont="1" applyProtection="1"/>
    <xf numFmtId="0" fontId="20" fillId="0" borderId="0" xfId="0" applyFont="1" applyFill="1" applyProtection="1"/>
    <xf numFmtId="165" fontId="26" fillId="0" borderId="6" xfId="2" applyNumberFormat="1" applyFont="1" applyFill="1" applyBorder="1" applyAlignment="1" applyProtection="1">
      <alignment horizontal="left"/>
    </xf>
    <xf numFmtId="0" fontId="25" fillId="0" borderId="6" xfId="0" applyFont="1" applyFill="1" applyBorder="1" applyProtection="1"/>
    <xf numFmtId="0" fontId="20" fillId="0" borderId="0" xfId="0" applyFont="1" applyFill="1" applyBorder="1" applyProtection="1"/>
    <xf numFmtId="170" fontId="4" fillId="2" borderId="0" xfId="3" applyNumberFormat="1" applyFont="1" applyFill="1" applyBorder="1" applyAlignment="1" applyProtection="1">
      <alignment horizontal="left"/>
      <protection locked="0"/>
    </xf>
    <xf numFmtId="43" fontId="20" fillId="3" borderId="22" xfId="3" applyFont="1" applyFill="1" applyBorder="1" applyAlignment="1" applyProtection="1">
      <alignment horizontal="center"/>
      <protection locked="0"/>
    </xf>
    <xf numFmtId="0" fontId="4" fillId="0" borderId="17" xfId="0" applyFont="1" applyFill="1" applyBorder="1" applyAlignment="1" applyProtection="1">
      <alignment horizontal="left" wrapText="1"/>
    </xf>
    <xf numFmtId="0" fontId="4" fillId="0" borderId="26" xfId="0" applyFont="1" applyFill="1" applyBorder="1" applyAlignment="1" applyProtection="1">
      <alignment horizontal="left" wrapText="1"/>
    </xf>
    <xf numFmtId="43" fontId="4" fillId="0" borderId="26" xfId="3" applyFont="1" applyFill="1" applyBorder="1" applyAlignment="1" applyProtection="1">
      <alignment horizontal="left" wrapText="1"/>
    </xf>
    <xf numFmtId="0" fontId="4" fillId="0" borderId="26" xfId="0" applyFont="1" applyFill="1" applyBorder="1" applyAlignment="1" applyProtection="1">
      <alignment horizontal="right" wrapText="1"/>
    </xf>
    <xf numFmtId="0" fontId="4" fillId="0" borderId="27" xfId="0" applyFont="1" applyFill="1" applyBorder="1" applyAlignment="1" applyProtection="1">
      <alignment horizontal="right" wrapText="1"/>
    </xf>
    <xf numFmtId="0" fontId="4" fillId="0" borderId="28" xfId="0" applyFont="1" applyFill="1" applyBorder="1" applyAlignment="1" applyProtection="1">
      <alignment horizontal="right" wrapText="1"/>
    </xf>
    <xf numFmtId="0" fontId="4" fillId="0" borderId="0" xfId="0" applyFont="1" applyFill="1" applyBorder="1" applyAlignment="1" applyProtection="1">
      <alignment horizontal="right" wrapText="1"/>
    </xf>
    <xf numFmtId="165" fontId="24" fillId="0" borderId="0" xfId="3" applyNumberFormat="1" applyFont="1" applyFill="1" applyBorder="1" applyAlignment="1" applyProtection="1">
      <alignment horizontal="right" wrapText="1"/>
    </xf>
    <xf numFmtId="165" fontId="4" fillId="2" borderId="22" xfId="3" applyNumberFormat="1" applyFont="1" applyFill="1" applyBorder="1" applyAlignment="1" applyProtection="1">
      <alignment shrinkToFit="1"/>
      <protection locked="0"/>
    </xf>
    <xf numFmtId="43" fontId="4" fillId="2" borderId="22" xfId="3" applyFont="1" applyFill="1" applyBorder="1" applyAlignment="1" applyProtection="1">
      <alignment shrinkToFit="1"/>
      <protection locked="0"/>
    </xf>
    <xf numFmtId="165" fontId="27" fillId="0" borderId="0" xfId="3" applyNumberFormat="1" applyFont="1" applyFill="1" applyAlignment="1" applyProtection="1">
      <alignment horizontal="right" shrinkToFit="1"/>
      <protection hidden="1"/>
    </xf>
    <xf numFmtId="165" fontId="20" fillId="0" borderId="22" xfId="3" applyNumberFormat="1" applyFont="1" applyFill="1" applyBorder="1" applyAlignment="1" applyProtection="1">
      <alignment shrinkToFit="1"/>
    </xf>
    <xf numFmtId="165" fontId="4" fillId="2" borderId="29" xfId="3" applyNumberFormat="1" applyFont="1" applyFill="1" applyBorder="1" applyAlignment="1" applyProtection="1">
      <alignment shrinkToFit="1"/>
      <protection locked="0"/>
    </xf>
    <xf numFmtId="43" fontId="4" fillId="2" borderId="29" xfId="3" applyFont="1" applyFill="1" applyBorder="1" applyAlignment="1" applyProtection="1">
      <alignment shrinkToFit="1"/>
      <protection locked="0"/>
    </xf>
    <xf numFmtId="165" fontId="20" fillId="0" borderId="29" xfId="3" applyNumberFormat="1" applyFont="1" applyFill="1" applyBorder="1" applyAlignment="1" applyProtection="1">
      <alignment horizontal="left"/>
      <protection hidden="1"/>
    </xf>
    <xf numFmtId="165" fontId="20" fillId="0" borderId="29" xfId="3" applyNumberFormat="1" applyFont="1" applyFill="1" applyBorder="1" applyAlignment="1" applyProtection="1">
      <alignment shrinkToFit="1"/>
      <protection hidden="1"/>
    </xf>
    <xf numFmtId="165" fontId="20" fillId="0" borderId="0" xfId="3" applyNumberFormat="1" applyFont="1" applyFill="1" applyBorder="1" applyProtection="1">
      <protection hidden="1"/>
    </xf>
    <xf numFmtId="165" fontId="27" fillId="0" borderId="0" xfId="3" applyNumberFormat="1" applyFont="1" applyFill="1" applyBorder="1" applyAlignment="1" applyProtection="1">
      <alignment shrinkToFit="1"/>
      <protection hidden="1"/>
    </xf>
    <xf numFmtId="165" fontId="4" fillId="2" borderId="21" xfId="3" applyNumberFormat="1" applyFont="1" applyFill="1" applyBorder="1" applyAlignment="1" applyProtection="1">
      <alignment shrinkToFit="1"/>
      <protection locked="0"/>
    </xf>
    <xf numFmtId="43" fontId="4" fillId="2" borderId="21" xfId="3" applyFont="1" applyFill="1" applyBorder="1" applyAlignment="1" applyProtection="1">
      <alignment shrinkToFit="1"/>
      <protection locked="0"/>
    </xf>
    <xf numFmtId="165" fontId="28" fillId="0" borderId="30" xfId="3" applyNumberFormat="1" applyFont="1" applyFill="1" applyBorder="1" applyAlignment="1" applyProtection="1">
      <alignment horizontal="right" shrinkToFit="1"/>
      <protection hidden="1"/>
    </xf>
    <xf numFmtId="165" fontId="20" fillId="0" borderId="31" xfId="3" applyNumberFormat="1" applyFont="1" applyFill="1" applyBorder="1" applyAlignment="1" applyProtection="1">
      <alignment horizontal="left"/>
      <protection hidden="1"/>
    </xf>
    <xf numFmtId="165" fontId="20" fillId="0" borderId="31" xfId="3" applyNumberFormat="1" applyFont="1" applyFill="1" applyBorder="1" applyAlignment="1" applyProtection="1">
      <alignment shrinkToFit="1"/>
      <protection hidden="1"/>
    </xf>
    <xf numFmtId="165" fontId="20" fillId="0" borderId="5" xfId="3" applyNumberFormat="1" applyFont="1" applyFill="1" applyBorder="1" applyAlignment="1" applyProtection="1">
      <alignment horizontal="left"/>
      <protection hidden="1"/>
    </xf>
    <xf numFmtId="165" fontId="20" fillId="0" borderId="0" xfId="3" applyNumberFormat="1" applyFont="1" applyFill="1" applyBorder="1" applyAlignment="1" applyProtection="1">
      <alignment shrinkToFit="1"/>
      <protection hidden="1"/>
    </xf>
    <xf numFmtId="165" fontId="20" fillId="0" borderId="32" xfId="3" applyNumberFormat="1" applyFont="1" applyFill="1" applyBorder="1" applyAlignment="1" applyProtection="1">
      <alignment shrinkToFit="1"/>
      <protection hidden="1"/>
    </xf>
    <xf numFmtId="165" fontId="23" fillId="0" borderId="32" xfId="3" applyNumberFormat="1" applyFont="1" applyFill="1" applyBorder="1" applyAlignment="1" applyProtection="1">
      <alignment shrinkToFit="1"/>
      <protection hidden="1"/>
    </xf>
    <xf numFmtId="165" fontId="20" fillId="0" borderId="13" xfId="3" applyNumberFormat="1" applyFont="1" applyFill="1" applyBorder="1" applyAlignment="1" applyProtection="1">
      <alignment shrinkToFit="1"/>
      <protection hidden="1"/>
    </xf>
    <xf numFmtId="165" fontId="45" fillId="0" borderId="0" xfId="3" applyNumberFormat="1" applyFont="1" applyFill="1" applyBorder="1" applyAlignment="1" applyProtection="1">
      <alignment horizontal="right" shrinkToFit="1"/>
      <protection hidden="1"/>
    </xf>
    <xf numFmtId="165" fontId="45" fillId="0" borderId="0" xfId="3" applyNumberFormat="1" applyFont="1" applyFill="1" applyBorder="1" applyAlignment="1" applyProtection="1">
      <alignment horizontal="right" shrinkToFit="1"/>
    </xf>
    <xf numFmtId="165" fontId="43" fillId="0" borderId="0" xfId="3" applyNumberFormat="1" applyFont="1" applyFill="1" applyBorder="1" applyAlignment="1" applyProtection="1">
      <alignment horizontal="right" shrinkToFit="1"/>
      <protection hidden="1"/>
    </xf>
    <xf numFmtId="165" fontId="49" fillId="0" borderId="32" xfId="0" applyNumberFormat="1" applyFont="1" applyFill="1" applyBorder="1" applyAlignment="1" applyProtection="1">
      <alignment shrinkToFit="1"/>
    </xf>
    <xf numFmtId="165" fontId="49" fillId="0" borderId="0" xfId="0" applyNumberFormat="1" applyFont="1" applyFill="1" applyBorder="1" applyAlignment="1" applyProtection="1">
      <alignment shrinkToFit="1"/>
    </xf>
    <xf numFmtId="165" fontId="49" fillId="0" borderId="0" xfId="3" applyNumberFormat="1" applyFont="1" applyFill="1" applyBorder="1" applyAlignment="1" applyProtection="1">
      <alignment horizontal="right" shrinkToFit="1"/>
    </xf>
    <xf numFmtId="165" fontId="45" fillId="0" borderId="9" xfId="3" applyNumberFormat="1" applyFont="1" applyFill="1" applyBorder="1" applyAlignment="1" applyProtection="1">
      <alignment horizontal="right" shrinkToFit="1"/>
      <protection hidden="1"/>
    </xf>
    <xf numFmtId="165" fontId="45" fillId="0" borderId="9" xfId="3" applyNumberFormat="1" applyFont="1" applyFill="1" applyBorder="1" applyAlignment="1" applyProtection="1">
      <alignment horizontal="right" shrinkToFit="1"/>
    </xf>
    <xf numFmtId="165" fontId="43" fillId="0" borderId="9" xfId="3" applyNumberFormat="1" applyFont="1" applyFill="1" applyBorder="1" applyAlignment="1" applyProtection="1">
      <alignment horizontal="right" shrinkToFit="1"/>
      <protection hidden="1"/>
    </xf>
    <xf numFmtId="165" fontId="49" fillId="0" borderId="68" xfId="0" applyNumberFormat="1" applyFont="1" applyFill="1" applyBorder="1" applyAlignment="1" applyProtection="1">
      <alignment shrinkToFit="1"/>
    </xf>
    <xf numFmtId="165" fontId="49" fillId="0" borderId="9" xfId="0" applyNumberFormat="1" applyFont="1" applyFill="1" applyBorder="1" applyAlignment="1" applyProtection="1">
      <alignment shrinkToFit="1"/>
    </xf>
    <xf numFmtId="165" fontId="49" fillId="0" borderId="9" xfId="3" applyNumberFormat="1" applyFont="1" applyFill="1" applyBorder="1" applyAlignment="1" applyProtection="1">
      <alignment horizontal="right" shrinkToFit="1"/>
    </xf>
    <xf numFmtId="0" fontId="20" fillId="0" borderId="0" xfId="0" applyFont="1" applyFill="1" applyAlignment="1" applyProtection="1">
      <alignment horizontal="left"/>
    </xf>
    <xf numFmtId="0" fontId="4" fillId="0" borderId="0" xfId="0" applyFont="1" applyFill="1" applyProtection="1"/>
    <xf numFmtId="43" fontId="4" fillId="0" borderId="0" xfId="3" applyFont="1" applyFill="1" applyProtection="1"/>
    <xf numFmtId="0" fontId="4" fillId="0" borderId="0" xfId="0" applyFont="1" applyFill="1" applyBorder="1" applyProtection="1"/>
    <xf numFmtId="0" fontId="4" fillId="0" borderId="6" xfId="0" applyFont="1" applyFill="1" applyBorder="1" applyProtection="1"/>
    <xf numFmtId="0" fontId="4" fillId="0" borderId="0" xfId="0" applyFont="1" applyFill="1" applyAlignment="1" applyProtection="1">
      <alignment horizontal="left"/>
    </xf>
    <xf numFmtId="165" fontId="4" fillId="0" borderId="0" xfId="3" applyNumberFormat="1" applyFont="1" applyFill="1" applyAlignment="1" applyProtection="1">
      <alignment horizontal="left"/>
    </xf>
    <xf numFmtId="165" fontId="4" fillId="0" borderId="0" xfId="3" applyNumberFormat="1" applyFont="1" applyFill="1" applyAlignment="1" applyProtection="1">
      <alignment horizontal="left"/>
      <protection hidden="1"/>
    </xf>
    <xf numFmtId="165" fontId="20" fillId="0" borderId="0" xfId="3" applyNumberFormat="1" applyFont="1" applyFill="1" applyAlignment="1" applyProtection="1">
      <alignment horizontal="left"/>
      <protection hidden="1"/>
    </xf>
    <xf numFmtId="165" fontId="4" fillId="0" borderId="0" xfId="3" applyNumberFormat="1" applyFont="1" applyFill="1" applyBorder="1" applyProtection="1"/>
    <xf numFmtId="0" fontId="20" fillId="0" borderId="33" xfId="0" applyFont="1" applyFill="1" applyBorder="1" applyProtection="1"/>
    <xf numFmtId="0" fontId="20" fillId="0" borderId="15" xfId="0" applyFont="1" applyFill="1" applyBorder="1" applyProtection="1"/>
    <xf numFmtId="0" fontId="20" fillId="0" borderId="29" xfId="0" applyFont="1" applyFill="1" applyBorder="1" applyAlignment="1" applyProtection="1">
      <alignment horizontal="right" wrapText="1"/>
    </xf>
    <xf numFmtId="43" fontId="20" fillId="0" borderId="29" xfId="3" applyFont="1" applyFill="1" applyBorder="1" applyAlignment="1" applyProtection="1">
      <alignment horizontal="right" wrapText="1"/>
    </xf>
    <xf numFmtId="0" fontId="20" fillId="0" borderId="35" xfId="0" applyFont="1" applyFill="1" applyBorder="1" applyAlignment="1" applyProtection="1">
      <alignment horizontal="left" shrinkToFit="1"/>
    </xf>
    <xf numFmtId="0" fontId="20" fillId="0" borderId="14" xfId="0" applyFont="1" applyFill="1" applyBorder="1" applyAlignment="1" applyProtection="1">
      <alignment horizontal="left"/>
    </xf>
    <xf numFmtId="165" fontId="20" fillId="0" borderId="14" xfId="3" applyNumberFormat="1" applyFont="1" applyFill="1" applyBorder="1" applyAlignment="1" applyProtection="1">
      <alignment horizontal="left"/>
    </xf>
    <xf numFmtId="165" fontId="20" fillId="0" borderId="14" xfId="3" applyNumberFormat="1"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4" xfId="0" applyFont="1" applyFill="1" applyBorder="1" applyAlignment="1" applyProtection="1">
      <alignment horizontal="left" wrapText="1"/>
    </xf>
    <xf numFmtId="165" fontId="23" fillId="0" borderId="14" xfId="3" applyNumberFormat="1" applyFont="1" applyFill="1" applyBorder="1" applyAlignment="1" applyProtection="1">
      <alignment horizontal="left"/>
    </xf>
    <xf numFmtId="165" fontId="23" fillId="0" borderId="14" xfId="3" applyNumberFormat="1" applyFont="1" applyFill="1" applyBorder="1" applyAlignment="1" applyProtection="1">
      <alignment horizontal="left"/>
      <protection hidden="1"/>
    </xf>
    <xf numFmtId="165" fontId="23" fillId="0" borderId="14" xfId="3" applyNumberFormat="1" applyFont="1" applyFill="1" applyBorder="1" applyAlignment="1" applyProtection="1">
      <alignment horizontal="left" wrapText="1"/>
      <protection hidden="1"/>
    </xf>
    <xf numFmtId="0" fontId="23" fillId="0" borderId="14" xfId="0" applyFont="1" applyFill="1" applyBorder="1" applyAlignment="1" applyProtection="1">
      <alignment horizontal="left"/>
    </xf>
    <xf numFmtId="0" fontId="20" fillId="0" borderId="15" xfId="0" applyFont="1" applyFill="1" applyBorder="1" applyAlignment="1" applyProtection="1">
      <alignment horizontal="left"/>
    </xf>
    <xf numFmtId="0" fontId="20" fillId="0" borderId="0" xfId="0" applyFont="1" applyFill="1" applyBorder="1" applyAlignment="1" applyProtection="1">
      <alignment horizontal="right" wrapText="1"/>
    </xf>
    <xf numFmtId="165" fontId="20" fillId="0" borderId="0" xfId="3" applyNumberFormat="1" applyFont="1" applyFill="1" applyBorder="1" applyProtection="1"/>
    <xf numFmtId="165" fontId="4" fillId="2" borderId="30" xfId="3" applyNumberFormat="1" applyFont="1" applyFill="1" applyBorder="1" applyAlignment="1" applyProtection="1">
      <alignment shrinkToFit="1"/>
      <protection locked="0"/>
    </xf>
    <xf numFmtId="44" fontId="4" fillId="0" borderId="30" xfId="4" applyFont="1" applyFill="1" applyBorder="1" applyAlignment="1" applyProtection="1">
      <alignment shrinkToFit="1"/>
      <protection hidden="1"/>
    </xf>
    <xf numFmtId="10" fontId="4" fillId="2" borderId="30" xfId="7" applyNumberFormat="1" applyFont="1" applyFill="1" applyBorder="1" applyAlignment="1" applyProtection="1">
      <alignment shrinkToFit="1"/>
      <protection locked="0"/>
    </xf>
    <xf numFmtId="165" fontId="4" fillId="0" borderId="29" xfId="3" applyNumberFormat="1" applyFont="1" applyFill="1" applyBorder="1" applyAlignment="1" applyProtection="1">
      <alignment shrinkToFit="1"/>
    </xf>
    <xf numFmtId="10" fontId="4" fillId="0" borderId="29" xfId="7" applyNumberFormat="1" applyFont="1" applyFill="1" applyBorder="1" applyAlignment="1" applyProtection="1">
      <alignment shrinkToFit="1"/>
    </xf>
    <xf numFmtId="0" fontId="4" fillId="2" borderId="14" xfId="0" applyFont="1" applyFill="1" applyBorder="1" applyProtection="1">
      <protection locked="0"/>
    </xf>
    <xf numFmtId="0" fontId="4" fillId="2" borderId="14" xfId="0" applyFont="1" applyFill="1" applyBorder="1" applyAlignment="1" applyProtection="1">
      <alignment horizontal="left"/>
    </xf>
    <xf numFmtId="165" fontId="4" fillId="2" borderId="14" xfId="3" applyNumberFormat="1" applyFont="1" applyFill="1" applyBorder="1" applyAlignment="1" applyProtection="1">
      <alignment horizontal="left"/>
      <protection locked="0"/>
    </xf>
    <xf numFmtId="0" fontId="20" fillId="2" borderId="14"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20" fillId="2" borderId="14" xfId="0" applyFont="1" applyFill="1" applyBorder="1" applyAlignment="1" applyProtection="1">
      <alignment horizontal="left" wrapText="1"/>
      <protection locked="0"/>
    </xf>
    <xf numFmtId="165" fontId="23" fillId="2" borderId="14" xfId="3" applyNumberFormat="1" applyFont="1" applyFill="1" applyBorder="1" applyAlignment="1" applyProtection="1">
      <alignment horizontal="left" wrapText="1"/>
      <protection locked="0"/>
    </xf>
    <xf numFmtId="0" fontId="4" fillId="0" borderId="0" xfId="0" applyFont="1" applyFill="1" applyBorder="1" applyProtection="1">
      <protection locked="0"/>
    </xf>
    <xf numFmtId="165" fontId="4" fillId="0" borderId="0" xfId="3" applyNumberFormat="1" applyFont="1" applyFill="1" applyBorder="1" applyAlignment="1" applyProtection="1">
      <alignment shrinkToFit="1"/>
      <protection locked="0"/>
    </xf>
    <xf numFmtId="165" fontId="4" fillId="0" borderId="0" xfId="3" applyNumberFormat="1" applyFont="1" applyFill="1" applyBorder="1" applyProtection="1">
      <protection locked="0"/>
    </xf>
    <xf numFmtId="44" fontId="4" fillId="0" borderId="29" xfId="4" applyFont="1" applyFill="1" applyBorder="1" applyAlignment="1" applyProtection="1">
      <alignment shrinkToFit="1"/>
      <protection hidden="1"/>
    </xf>
    <xf numFmtId="10" fontId="4" fillId="2" borderId="29" xfId="7" applyNumberFormat="1" applyFont="1" applyFill="1" applyBorder="1" applyAlignment="1" applyProtection="1">
      <alignment shrinkToFit="1"/>
      <protection locked="0"/>
    </xf>
    <xf numFmtId="0" fontId="4" fillId="2" borderId="0" xfId="0" applyFont="1" applyFill="1" applyBorder="1" applyAlignment="1" applyProtection="1">
      <alignment horizontal="left"/>
    </xf>
    <xf numFmtId="0" fontId="4" fillId="2" borderId="33" xfId="0" applyFont="1" applyFill="1" applyBorder="1" applyAlignment="1" applyProtection="1">
      <alignment horizontal="left" wrapText="1"/>
      <protection locked="0"/>
    </xf>
    <xf numFmtId="44" fontId="20" fillId="0" borderId="29" xfId="4" applyFont="1" applyFill="1" applyBorder="1" applyAlignment="1" applyProtection="1">
      <alignment shrinkToFit="1"/>
      <protection hidden="1"/>
    </xf>
    <xf numFmtId="10" fontId="20" fillId="0" borderId="29" xfId="7" applyNumberFormat="1" applyFont="1" applyFill="1" applyBorder="1" applyAlignment="1" applyProtection="1">
      <alignment shrinkToFit="1"/>
      <protection hidden="1"/>
    </xf>
    <xf numFmtId="0" fontId="4" fillId="0" borderId="33" xfId="0" applyFont="1" applyFill="1" applyBorder="1" applyAlignment="1" applyProtection="1">
      <alignment horizontal="left" wrapText="1"/>
      <protection locked="0" hidden="1"/>
    </xf>
    <xf numFmtId="0" fontId="4" fillId="0" borderId="14" xfId="0" applyFont="1" applyFill="1" applyBorder="1" applyAlignment="1" applyProtection="1">
      <alignment horizontal="left"/>
      <protection locked="0" hidden="1"/>
    </xf>
    <xf numFmtId="165" fontId="4" fillId="0" borderId="14" xfId="3" applyNumberFormat="1" applyFont="1" applyFill="1" applyBorder="1" applyAlignment="1" applyProtection="1">
      <alignment horizontal="left"/>
      <protection locked="0" hidden="1"/>
    </xf>
    <xf numFmtId="0" fontId="20" fillId="0" borderId="14" xfId="0" applyFont="1" applyFill="1" applyBorder="1" applyAlignment="1" applyProtection="1">
      <alignment horizontal="left"/>
      <protection locked="0" hidden="1"/>
    </xf>
    <xf numFmtId="0" fontId="20" fillId="0" borderId="14" xfId="0" applyFont="1" applyFill="1" applyBorder="1" applyAlignment="1" applyProtection="1">
      <alignment horizontal="left" wrapText="1"/>
      <protection locked="0" hidden="1"/>
    </xf>
    <xf numFmtId="165" fontId="23" fillId="0" borderId="14" xfId="3" applyNumberFormat="1" applyFont="1" applyFill="1" applyBorder="1" applyAlignment="1" applyProtection="1">
      <alignment horizontal="left" wrapText="1"/>
      <protection locked="0" hidden="1"/>
    </xf>
    <xf numFmtId="0" fontId="4" fillId="0" borderId="15" xfId="0" applyFont="1" applyFill="1" applyBorder="1" applyAlignment="1" applyProtection="1">
      <alignment horizontal="left"/>
      <protection locked="0" hidden="1"/>
    </xf>
    <xf numFmtId="0" fontId="20" fillId="0" borderId="0" xfId="0" applyFont="1" applyFill="1" applyBorder="1" applyProtection="1">
      <protection hidden="1"/>
    </xf>
    <xf numFmtId="0" fontId="20" fillId="0" borderId="0" xfId="0" applyFont="1" applyFill="1" applyAlignment="1" applyProtection="1">
      <alignment horizontal="left"/>
      <protection hidden="1"/>
    </xf>
    <xf numFmtId="0" fontId="20" fillId="0" borderId="35" xfId="0" applyFont="1" applyFill="1" applyBorder="1" applyAlignment="1" applyProtection="1">
      <alignment horizontal="left"/>
    </xf>
    <xf numFmtId="0" fontId="20" fillId="0" borderId="0" xfId="0" applyFont="1" applyFill="1" applyBorder="1" applyAlignment="1" applyProtection="1">
      <alignment horizontal="left"/>
    </xf>
    <xf numFmtId="0" fontId="20" fillId="0" borderId="0" xfId="0" applyFont="1" applyFill="1" applyBorder="1" applyAlignment="1" applyProtection="1">
      <alignment horizontal="left" wrapText="1"/>
    </xf>
    <xf numFmtId="165" fontId="20" fillId="0" borderId="0" xfId="3" applyNumberFormat="1" applyFont="1" applyFill="1" applyBorder="1" applyAlignment="1" applyProtection="1">
      <alignment horizontal="left"/>
    </xf>
    <xf numFmtId="43" fontId="4" fillId="2" borderId="30" xfId="3" applyFont="1" applyFill="1" applyBorder="1" applyAlignment="1" applyProtection="1">
      <alignment horizontal="right" shrinkToFit="1"/>
      <protection locked="0"/>
    </xf>
    <xf numFmtId="165" fontId="4" fillId="0" borderId="29" xfId="3" applyNumberFormat="1" applyFont="1" applyFill="1" applyBorder="1" applyAlignment="1" applyProtection="1">
      <alignment shrinkToFit="1"/>
      <protection hidden="1"/>
    </xf>
    <xf numFmtId="10" fontId="4" fillId="0" borderId="29" xfId="7" applyNumberFormat="1" applyFont="1" applyFill="1" applyBorder="1" applyAlignment="1" applyProtection="1">
      <alignment horizontal="right" shrinkToFit="1"/>
    </xf>
    <xf numFmtId="0" fontId="4" fillId="0" borderId="0" xfId="0" applyFont="1" applyFill="1" applyBorder="1" applyAlignment="1" applyProtection="1">
      <alignment horizontal="left"/>
      <protection locked="0"/>
    </xf>
    <xf numFmtId="165" fontId="4" fillId="0" borderId="0" xfId="3" applyNumberFormat="1" applyFont="1" applyFill="1" applyBorder="1" applyAlignment="1" applyProtection="1">
      <alignment horizontal="left" shrinkToFit="1"/>
      <protection locked="0"/>
    </xf>
    <xf numFmtId="165" fontId="4" fillId="0" borderId="0" xfId="3" applyNumberFormat="1" applyFont="1" applyFill="1" applyBorder="1" applyAlignment="1" applyProtection="1">
      <alignment horizontal="left"/>
      <protection locked="0"/>
    </xf>
    <xf numFmtId="43" fontId="4" fillId="2" borderId="29" xfId="3" applyFont="1" applyFill="1" applyBorder="1" applyAlignment="1" applyProtection="1">
      <alignment horizontal="right" shrinkToFit="1"/>
      <protection locked="0"/>
    </xf>
    <xf numFmtId="43" fontId="20" fillId="0" borderId="29" xfId="3" applyFont="1" applyFill="1" applyBorder="1" applyAlignment="1" applyProtection="1">
      <alignment horizontal="right" shrinkToFit="1"/>
      <protection hidden="1"/>
    </xf>
    <xf numFmtId="165" fontId="20" fillId="0" borderId="29" xfId="7" applyNumberFormat="1" applyFont="1" applyFill="1" applyBorder="1" applyAlignment="1" applyProtection="1">
      <alignment shrinkToFit="1"/>
      <protection hidden="1"/>
    </xf>
    <xf numFmtId="165" fontId="20" fillId="0" borderId="29" xfId="3" applyNumberFormat="1" applyFont="1" applyFill="1" applyBorder="1" applyAlignment="1" applyProtection="1">
      <alignment horizontal="right" shrinkToFit="1"/>
      <protection hidden="1"/>
    </xf>
    <xf numFmtId="0" fontId="4" fillId="0" borderId="33"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165" fontId="4" fillId="0" borderId="14" xfId="3" applyNumberFormat="1" applyFont="1" applyFill="1" applyBorder="1" applyAlignment="1" applyProtection="1">
      <alignment horizontal="left"/>
      <protection hidden="1"/>
    </xf>
    <xf numFmtId="0" fontId="20" fillId="0" borderId="14" xfId="0" applyFont="1" applyFill="1" applyBorder="1" applyAlignment="1" applyProtection="1">
      <alignment horizontal="left" wrapText="1"/>
      <protection hidden="1"/>
    </xf>
    <xf numFmtId="0" fontId="4" fillId="0" borderId="15" xfId="0" applyFont="1" applyFill="1" applyBorder="1" applyAlignment="1" applyProtection="1">
      <alignment horizontal="left"/>
      <protection hidden="1"/>
    </xf>
    <xf numFmtId="0" fontId="20" fillId="0" borderId="0" xfId="0" applyFont="1" applyFill="1" applyBorder="1" applyAlignment="1" applyProtection="1">
      <alignment horizontal="left"/>
      <protection hidden="1"/>
    </xf>
    <xf numFmtId="165" fontId="20" fillId="0" borderId="0" xfId="3" applyNumberFormat="1" applyFont="1" applyFill="1" applyBorder="1" applyAlignment="1" applyProtection="1">
      <alignment horizontal="left" shrinkToFit="1"/>
      <protection hidden="1"/>
    </xf>
    <xf numFmtId="165" fontId="20" fillId="0" borderId="0" xfId="3" applyNumberFormat="1" applyFont="1" applyFill="1" applyBorder="1" applyAlignment="1" applyProtection="1">
      <alignment horizontal="left"/>
      <protection hidden="1"/>
    </xf>
    <xf numFmtId="0" fontId="28" fillId="0" borderId="34" xfId="0" applyFont="1" applyFill="1" applyBorder="1" applyAlignment="1" applyProtection="1">
      <alignment horizontal="left"/>
    </xf>
    <xf numFmtId="0" fontId="28" fillId="0" borderId="12" xfId="0" applyFont="1" applyFill="1" applyBorder="1" applyProtection="1"/>
    <xf numFmtId="0" fontId="28" fillId="0" borderId="0" xfId="0" applyFont="1" applyFill="1" applyProtection="1"/>
    <xf numFmtId="10" fontId="28" fillId="0" borderId="0" xfId="7" applyNumberFormat="1" applyFont="1" applyFill="1" applyBorder="1" applyAlignment="1" applyProtection="1">
      <alignment horizontal="left"/>
    </xf>
    <xf numFmtId="0" fontId="28" fillId="0" borderId="0" xfId="0" applyFont="1" applyFill="1" applyBorder="1" applyProtection="1"/>
    <xf numFmtId="10" fontId="28" fillId="0" borderId="0" xfId="7" applyNumberFormat="1" applyFont="1" applyFill="1" applyBorder="1" applyProtection="1"/>
    <xf numFmtId="165" fontId="28" fillId="0" borderId="0" xfId="3" applyNumberFormat="1" applyFont="1" applyFill="1" applyBorder="1" applyProtection="1"/>
    <xf numFmtId="0" fontId="28" fillId="0" borderId="33" xfId="0" applyFont="1" applyFill="1" applyBorder="1" applyProtection="1"/>
    <xf numFmtId="0" fontId="28" fillId="0" borderId="14" xfId="0" applyFont="1" applyFill="1" applyBorder="1" applyProtection="1"/>
    <xf numFmtId="0" fontId="28" fillId="0" borderId="0" xfId="0" applyFont="1" applyFill="1" applyBorder="1" applyAlignment="1" applyProtection="1"/>
    <xf numFmtId="0" fontId="28" fillId="0" borderId="35" xfId="0" applyFont="1" applyFill="1" applyBorder="1" applyAlignment="1" applyProtection="1">
      <alignment horizontal="left"/>
    </xf>
    <xf numFmtId="0" fontId="28" fillId="0" borderId="6" xfId="0" applyFont="1" applyFill="1" applyBorder="1" applyProtection="1"/>
    <xf numFmtId="165" fontId="28" fillId="0" borderId="0" xfId="0" applyNumberFormat="1" applyFont="1" applyFill="1" applyBorder="1" applyProtection="1"/>
    <xf numFmtId="0" fontId="20" fillId="0" borderId="6" xfId="0" applyFont="1" applyBorder="1"/>
    <xf numFmtId="0" fontId="20" fillId="0" borderId="15" xfId="0" applyFont="1" applyBorder="1"/>
    <xf numFmtId="1" fontId="20" fillId="3" borderId="29" xfId="0" applyNumberFormat="1" applyFont="1" applyFill="1" applyBorder="1" applyProtection="1">
      <protection locked="0"/>
    </xf>
    <xf numFmtId="0" fontId="20" fillId="0" borderId="29" xfId="0" applyFont="1" applyBorder="1" applyAlignment="1">
      <alignment horizontal="right" wrapText="1"/>
    </xf>
    <xf numFmtId="43" fontId="20" fillId="0" borderId="14" xfId="3" applyFont="1" applyBorder="1" applyAlignment="1">
      <alignment horizontal="right" wrapText="1"/>
    </xf>
    <xf numFmtId="171" fontId="20" fillId="0" borderId="29" xfId="7" applyNumberFormat="1" applyFont="1" applyBorder="1" applyAlignment="1">
      <alignment horizontal="right" wrapText="1"/>
    </xf>
    <xf numFmtId="165" fontId="20" fillId="0" borderId="29" xfId="3" applyNumberFormat="1" applyFont="1" applyBorder="1" applyAlignment="1">
      <alignment horizontal="right" wrapText="1"/>
    </xf>
    <xf numFmtId="0" fontId="20" fillId="0" borderId="29" xfId="0" applyFont="1" applyBorder="1" applyAlignment="1">
      <alignment horizontal="left" wrapText="1"/>
    </xf>
    <xf numFmtId="0" fontId="4" fillId="0" borderId="13" xfId="0" applyFont="1" applyBorder="1"/>
    <xf numFmtId="0" fontId="20" fillId="0" borderId="35" xfId="1" applyFont="1" applyBorder="1"/>
    <xf numFmtId="0" fontId="20" fillId="0" borderId="11" xfId="0" applyFont="1" applyBorder="1"/>
    <xf numFmtId="165" fontId="20" fillId="0" borderId="22" xfId="3" applyNumberFormat="1" applyFont="1" applyBorder="1" applyAlignment="1">
      <alignment horizontal="right" shrinkToFit="1"/>
    </xf>
    <xf numFmtId="43" fontId="20" fillId="0" borderId="6" xfId="3" applyFont="1" applyBorder="1" applyAlignment="1">
      <alignment horizontal="right" shrinkToFit="1"/>
    </xf>
    <xf numFmtId="0" fontId="20" fillId="0" borderId="22" xfId="0" applyFont="1" applyBorder="1" applyAlignment="1" applyProtection="1">
      <alignment horizontal="right" shrinkToFit="1"/>
      <protection hidden="1"/>
    </xf>
    <xf numFmtId="171" fontId="20" fillId="0" borderId="22" xfId="7" applyNumberFormat="1" applyFont="1" applyBorder="1" applyAlignment="1">
      <alignment horizontal="right" shrinkToFit="1"/>
    </xf>
    <xf numFmtId="0" fontId="20" fillId="0" borderId="22" xfId="0" applyFont="1" applyBorder="1" applyAlignment="1">
      <alignment horizontal="left" wrapText="1"/>
    </xf>
    <xf numFmtId="0" fontId="20" fillId="0" borderId="0" xfId="1" applyFont="1" applyBorder="1"/>
    <xf numFmtId="0" fontId="20" fillId="0" borderId="0" xfId="0" applyFont="1" applyBorder="1"/>
    <xf numFmtId="165" fontId="20" fillId="0" borderId="0" xfId="3" applyNumberFormat="1" applyFont="1" applyBorder="1" applyAlignment="1">
      <alignment horizontal="right" shrinkToFit="1"/>
    </xf>
    <xf numFmtId="43" fontId="20" fillId="0" borderId="0" xfId="3" applyFont="1" applyBorder="1" applyAlignment="1">
      <alignment horizontal="right" shrinkToFit="1"/>
    </xf>
    <xf numFmtId="0" fontId="20" fillId="0" borderId="0" xfId="0" applyFont="1" applyBorder="1" applyAlignment="1" applyProtection="1">
      <alignment horizontal="right" shrinkToFit="1"/>
      <protection hidden="1"/>
    </xf>
    <xf numFmtId="171" fontId="20" fillId="0" borderId="0" xfId="7" applyNumberFormat="1" applyFont="1" applyBorder="1" applyAlignment="1">
      <alignment horizontal="right" shrinkToFit="1"/>
    </xf>
    <xf numFmtId="0" fontId="20" fillId="0" borderId="0" xfId="0" applyFont="1" applyBorder="1" applyAlignment="1">
      <alignment horizontal="left" wrapText="1"/>
    </xf>
    <xf numFmtId="0" fontId="6" fillId="0" borderId="0" xfId="0" applyFont="1" applyBorder="1"/>
    <xf numFmtId="0" fontId="6" fillId="2" borderId="0" xfId="0" applyFont="1" applyFill="1" applyAlignment="1" applyProtection="1">
      <alignment horizontal="left"/>
      <protection locked="0"/>
    </xf>
    <xf numFmtId="0" fontId="6" fillId="2" borderId="0" xfId="0" applyFont="1" applyFill="1" applyAlignment="1" applyProtection="1">
      <alignment shrinkToFit="1"/>
      <protection locked="0"/>
    </xf>
    <xf numFmtId="0" fontId="6" fillId="2" borderId="0" xfId="0" applyFont="1" applyFill="1" applyAlignment="1" applyProtection="1">
      <alignment horizontal="right" shrinkToFit="1"/>
      <protection locked="0"/>
    </xf>
    <xf numFmtId="165" fontId="6" fillId="3" borderId="0" xfId="3" applyNumberFormat="1" applyFont="1" applyFill="1" applyAlignment="1" applyProtection="1">
      <alignment horizontal="right" shrinkToFit="1"/>
      <protection locked="0"/>
    </xf>
    <xf numFmtId="178" fontId="6" fillId="0" borderId="0" xfId="7" applyNumberFormat="1" applyFont="1" applyFill="1" applyAlignment="1" applyProtection="1">
      <alignment horizontal="right" shrinkToFit="1"/>
      <protection locked="0"/>
    </xf>
    <xf numFmtId="172" fontId="6" fillId="0" borderId="0" xfId="0" applyNumberFormat="1" applyFont="1" applyAlignment="1" applyProtection="1">
      <alignment horizontal="right" shrinkToFit="1"/>
      <protection hidden="1"/>
    </xf>
    <xf numFmtId="10" fontId="6" fillId="2" borderId="0" xfId="7" applyNumberFormat="1" applyFont="1" applyFill="1" applyAlignment="1" applyProtection="1">
      <alignment horizontal="right" shrinkToFit="1"/>
      <protection locked="0"/>
    </xf>
    <xf numFmtId="165" fontId="6" fillId="3" borderId="12" xfId="0" applyNumberFormat="1" applyFont="1" applyFill="1" applyBorder="1" applyAlignment="1" applyProtection="1">
      <alignment shrinkToFit="1"/>
      <protection locked="0"/>
    </xf>
    <xf numFmtId="0" fontId="6" fillId="2" borderId="0" xfId="0" applyFont="1" applyFill="1" applyBorder="1" applyAlignment="1" applyProtection="1">
      <alignment horizontal="right"/>
      <protection locked="0"/>
    </xf>
    <xf numFmtId="165" fontId="6" fillId="3" borderId="0" xfId="3" applyNumberFormat="1" applyFont="1" applyFill="1" applyBorder="1" applyAlignment="1" applyProtection="1">
      <alignment horizontal="right"/>
      <protection locked="0"/>
    </xf>
    <xf numFmtId="165" fontId="6" fillId="2" borderId="0" xfId="3" applyNumberFormat="1" applyFont="1" applyFill="1" applyAlignment="1" applyProtection="1">
      <alignment horizontal="right" shrinkToFit="1"/>
      <protection locked="0"/>
    </xf>
    <xf numFmtId="10" fontId="6" fillId="2" borderId="0" xfId="7" applyNumberFormat="1" applyFont="1" applyFill="1" applyAlignment="1" applyProtection="1">
      <alignment horizontal="right"/>
      <protection locked="0"/>
    </xf>
    <xf numFmtId="165" fontId="6" fillId="3" borderId="0" xfId="0" applyNumberFormat="1" applyFont="1" applyFill="1" applyBorder="1" applyAlignment="1" applyProtection="1">
      <alignment shrinkToFit="1"/>
      <protection locked="0"/>
    </xf>
    <xf numFmtId="0" fontId="6" fillId="3" borderId="0" xfId="0" applyFont="1" applyFill="1" applyBorder="1" applyAlignment="1" applyProtection="1">
      <alignment horizontal="right"/>
      <protection locked="0"/>
    </xf>
    <xf numFmtId="0" fontId="6" fillId="2" borderId="0" xfId="0" applyFont="1" applyFill="1" applyBorder="1" applyAlignment="1" applyProtection="1">
      <alignment horizontal="right" shrinkToFit="1"/>
      <protection locked="0"/>
    </xf>
    <xf numFmtId="165" fontId="6" fillId="2" borderId="0" xfId="0" applyNumberFormat="1" applyFont="1" applyFill="1" applyBorder="1" applyAlignment="1" applyProtection="1">
      <alignment shrinkToFit="1"/>
      <protection locked="0"/>
    </xf>
    <xf numFmtId="0" fontId="6" fillId="0" borderId="39" xfId="0" applyFont="1" applyBorder="1"/>
    <xf numFmtId="0" fontId="6" fillId="0" borderId="29" xfId="0" applyFont="1" applyBorder="1"/>
    <xf numFmtId="0" fontId="6" fillId="0" borderId="40" xfId="0" applyFont="1" applyBorder="1"/>
    <xf numFmtId="0" fontId="6" fillId="0" borderId="0" xfId="0" applyFont="1" applyFill="1" applyBorder="1" applyAlignment="1" applyProtection="1">
      <alignment horizontal="right"/>
      <protection locked="0" hidden="1"/>
    </xf>
    <xf numFmtId="165" fontId="6" fillId="0" borderId="0" xfId="3" applyNumberFormat="1" applyFont="1" applyFill="1" applyAlignment="1">
      <alignment horizontal="right" shrinkToFit="1"/>
    </xf>
    <xf numFmtId="0" fontId="6" fillId="0" borderId="41" xfId="0" applyFont="1" applyBorder="1"/>
    <xf numFmtId="0" fontId="6" fillId="0" borderId="42" xfId="0" applyFont="1" applyBorder="1"/>
    <xf numFmtId="0" fontId="6" fillId="0" borderId="43" xfId="0" applyFont="1" applyBorder="1"/>
    <xf numFmtId="0" fontId="6" fillId="0" borderId="0" xfId="0" applyFont="1" applyAlignment="1">
      <alignment horizontal="right" shrinkToFit="1"/>
    </xf>
    <xf numFmtId="165" fontId="6" fillId="0" borderId="0" xfId="3" applyNumberFormat="1" applyFont="1" applyAlignment="1">
      <alignment horizontal="right" shrinkToFit="1"/>
    </xf>
    <xf numFmtId="171" fontId="6" fillId="0" borderId="0" xfId="7" applyNumberFormat="1" applyFont="1" applyAlignment="1">
      <alignment horizontal="right" shrinkToFit="1"/>
    </xf>
    <xf numFmtId="165" fontId="6" fillId="2" borderId="0" xfId="3" applyNumberFormat="1" applyFont="1" applyFill="1" applyAlignment="1" applyProtection="1">
      <alignment horizontal="right" shrinkToFit="1"/>
    </xf>
    <xf numFmtId="165" fontId="6" fillId="10" borderId="0" xfId="3" applyNumberFormat="1" applyFont="1" applyFill="1" applyAlignment="1" applyProtection="1">
      <alignment horizontal="right" shrinkToFit="1"/>
      <protection locked="0"/>
    </xf>
    <xf numFmtId="0" fontId="6" fillId="0" borderId="0" xfId="0" applyFont="1" applyAlignment="1" applyProtection="1">
      <alignment horizontal="right" shrinkToFit="1"/>
    </xf>
    <xf numFmtId="165" fontId="6" fillId="0" borderId="6" xfId="3" applyNumberFormat="1" applyFont="1" applyFill="1" applyBorder="1" applyAlignment="1" applyProtection="1">
      <alignment horizontal="right"/>
    </xf>
    <xf numFmtId="0" fontId="6" fillId="0" borderId="0" xfId="0" applyFont="1"/>
    <xf numFmtId="0" fontId="6" fillId="0" borderId="0" xfId="0" applyFont="1" applyAlignment="1">
      <alignment horizontal="right"/>
    </xf>
    <xf numFmtId="171" fontId="6" fillId="0" borderId="0" xfId="7" applyNumberFormat="1" applyFont="1" applyAlignment="1">
      <alignment horizontal="right"/>
    </xf>
    <xf numFmtId="0" fontId="6" fillId="0" borderId="0" xfId="0" applyFont="1" applyBorder="1" applyAlignment="1">
      <alignment horizontal="right"/>
    </xf>
    <xf numFmtId="0" fontId="6" fillId="3" borderId="0" xfId="0" applyFont="1" applyFill="1" applyAlignment="1" applyProtection="1">
      <alignment horizontal="left"/>
      <protection locked="0"/>
    </xf>
    <xf numFmtId="0" fontId="6" fillId="0" borderId="0" xfId="0" applyFont="1" applyFill="1" applyAlignment="1" applyProtection="1">
      <alignment shrinkToFit="1"/>
    </xf>
    <xf numFmtId="172" fontId="6" fillId="3" borderId="0" xfId="0" applyNumberFormat="1" applyFont="1" applyFill="1" applyAlignment="1" applyProtection="1">
      <alignment horizontal="right" shrinkToFit="1"/>
      <protection locked="0"/>
    </xf>
    <xf numFmtId="171" fontId="6" fillId="2" borderId="0" xfId="7" applyNumberFormat="1" applyFont="1" applyFill="1" applyAlignment="1" applyProtection="1">
      <alignment horizontal="right" shrinkToFit="1"/>
      <protection locked="0"/>
    </xf>
    <xf numFmtId="43" fontId="6" fillId="0" borderId="0" xfId="3" applyFont="1" applyBorder="1" applyAlignment="1">
      <alignment horizontal="right"/>
    </xf>
    <xf numFmtId="0" fontId="6" fillId="3" borderId="0" xfId="7" applyNumberFormat="1" applyFont="1" applyFill="1" applyAlignment="1" applyProtection="1">
      <alignment horizontal="right" shrinkToFit="1"/>
      <protection locked="0"/>
    </xf>
    <xf numFmtId="165" fontId="6" fillId="0" borderId="0" xfId="3" applyNumberFormat="1" applyFont="1" applyFill="1" applyAlignment="1" applyProtection="1">
      <alignment horizontal="right" shrinkToFit="1"/>
    </xf>
    <xf numFmtId="49" fontId="6" fillId="3" borderId="0" xfId="7" applyNumberFormat="1" applyFont="1" applyFill="1" applyAlignment="1" applyProtection="1">
      <alignment horizontal="right" shrinkToFit="1"/>
      <protection locked="0"/>
    </xf>
    <xf numFmtId="165" fontId="6" fillId="0" borderId="0" xfId="7" applyNumberFormat="1" applyFont="1" applyAlignment="1" applyProtection="1">
      <alignment horizontal="right" shrinkToFit="1"/>
    </xf>
    <xf numFmtId="172" fontId="6" fillId="0" borderId="0" xfId="0" applyNumberFormat="1" applyFont="1" applyAlignment="1">
      <alignment horizontal="right" shrinkToFit="1"/>
    </xf>
    <xf numFmtId="172" fontId="6" fillId="0" borderId="6" xfId="0" applyNumberFormat="1" applyFont="1" applyBorder="1" applyAlignment="1">
      <alignment horizontal="right" shrinkToFit="1"/>
    </xf>
    <xf numFmtId="43" fontId="6" fillId="0" borderId="6" xfId="3" applyFont="1" applyBorder="1" applyAlignment="1">
      <alignment horizontal="right"/>
    </xf>
    <xf numFmtId="43" fontId="6" fillId="0" borderId="14" xfId="3" applyFont="1" applyBorder="1" applyAlignment="1">
      <alignment horizontal="right"/>
    </xf>
    <xf numFmtId="49" fontId="6" fillId="0" borderId="29" xfId="0" applyNumberFormat="1" applyFont="1" applyBorder="1" applyAlignment="1">
      <alignment horizontal="left" readingOrder="1"/>
    </xf>
    <xf numFmtId="165" fontId="6" fillId="2" borderId="29" xfId="3" applyNumberFormat="1" applyFont="1" applyFill="1" applyBorder="1" applyAlignment="1" applyProtection="1">
      <alignment horizontal="right" readingOrder="1"/>
      <protection locked="0"/>
    </xf>
    <xf numFmtId="173" fontId="6" fillId="0" borderId="29" xfId="0" applyNumberFormat="1" applyFont="1" applyBorder="1" applyAlignment="1">
      <alignment horizontal="right" readingOrder="1"/>
    </xf>
    <xf numFmtId="173" fontId="6" fillId="3" borderId="29" xfId="3" applyNumberFormat="1" applyFont="1" applyFill="1" applyBorder="1" applyAlignment="1" applyProtection="1">
      <alignment horizontal="right" readingOrder="1"/>
      <protection locked="0"/>
    </xf>
    <xf numFmtId="44" fontId="6" fillId="2" borderId="29" xfId="4" applyFont="1" applyFill="1" applyBorder="1" applyAlignment="1" applyProtection="1">
      <alignment horizontal="right" readingOrder="1"/>
      <protection locked="0"/>
    </xf>
    <xf numFmtId="165" fontId="6" fillId="3" borderId="29" xfId="3" applyNumberFormat="1" applyFont="1" applyFill="1" applyBorder="1" applyAlignment="1" applyProtection="1">
      <alignment horizontal="right" readingOrder="1"/>
      <protection locked="0"/>
    </xf>
    <xf numFmtId="44" fontId="6" fillId="2" borderId="29" xfId="4" applyFont="1" applyFill="1" applyBorder="1" applyAlignment="1" applyProtection="1">
      <alignment horizontal="left" readingOrder="1"/>
      <protection locked="0"/>
    </xf>
    <xf numFmtId="49" fontId="6" fillId="2" borderId="29" xfId="0" applyNumberFormat="1" applyFont="1" applyFill="1" applyBorder="1" applyAlignment="1" applyProtection="1">
      <alignment horizontal="left" wrapText="1" readingOrder="1"/>
      <protection locked="0"/>
    </xf>
    <xf numFmtId="0" fontId="6" fillId="0" borderId="0" xfId="0" applyFont="1" applyBorder="1" applyAlignment="1">
      <alignment readingOrder="1"/>
    </xf>
    <xf numFmtId="0" fontId="20" fillId="0" borderId="33" xfId="0" applyFont="1" applyBorder="1" applyAlignment="1">
      <alignment horizontal="left" vertical="center" readingOrder="1"/>
    </xf>
    <xf numFmtId="44" fontId="6" fillId="0" borderId="12" xfId="4" applyFont="1" applyBorder="1" applyAlignment="1">
      <alignment horizontal="right" vertical="center" readingOrder="1"/>
    </xf>
    <xf numFmtId="165" fontId="6" fillId="0" borderId="0" xfId="3" applyNumberFormat="1" applyFont="1" applyBorder="1" applyAlignment="1">
      <alignment horizontal="right" vertical="center" readingOrder="1"/>
    </xf>
    <xf numFmtId="0" fontId="4" fillId="0" borderId="33" xfId="0" applyFont="1" applyBorder="1" applyAlignment="1">
      <alignment horizontal="left" vertical="center" readingOrder="1"/>
    </xf>
    <xf numFmtId="0" fontId="6" fillId="0" borderId="14" xfId="0" applyFont="1" applyBorder="1" applyAlignment="1">
      <alignment vertical="center" readingOrder="1"/>
    </xf>
    <xf numFmtId="0" fontId="6" fillId="0" borderId="14" xfId="0" applyFont="1" applyBorder="1" applyAlignment="1">
      <alignment horizontal="right" vertical="center" readingOrder="1"/>
    </xf>
    <xf numFmtId="165" fontId="6" fillId="2" borderId="29" xfId="3" applyNumberFormat="1" applyFont="1" applyFill="1" applyBorder="1" applyAlignment="1" applyProtection="1">
      <alignment horizontal="right" vertical="center" readingOrder="1"/>
      <protection locked="0"/>
    </xf>
    <xf numFmtId="171" fontId="6" fillId="0" borderId="14" xfId="7" applyNumberFormat="1" applyFont="1" applyBorder="1" applyAlignment="1">
      <alignment horizontal="right" vertical="center" readingOrder="1"/>
    </xf>
    <xf numFmtId="0" fontId="6" fillId="0" borderId="0" xfId="0" applyFont="1" applyAlignment="1">
      <alignment horizontal="right" vertical="center" readingOrder="1"/>
    </xf>
    <xf numFmtId="0" fontId="6" fillId="0" borderId="0" xfId="0" applyFont="1" applyBorder="1" applyAlignment="1">
      <alignment horizontal="right" vertical="center" readingOrder="1"/>
    </xf>
    <xf numFmtId="0" fontId="6" fillId="0" borderId="0" xfId="0" applyFont="1" applyBorder="1" applyAlignment="1">
      <alignment vertical="center" readingOrder="1"/>
    </xf>
    <xf numFmtId="0" fontId="6" fillId="0" borderId="0" xfId="0" applyFont="1" applyAlignment="1">
      <alignment vertical="center" readingOrder="1"/>
    </xf>
    <xf numFmtId="0" fontId="20" fillId="0" borderId="33" xfId="0" applyFont="1" applyBorder="1" applyAlignment="1">
      <alignment vertical="center" readingOrder="1"/>
    </xf>
    <xf numFmtId="0" fontId="20" fillId="0" borderId="14" xfId="0" applyFont="1" applyBorder="1" applyAlignment="1">
      <alignment vertical="center" readingOrder="1"/>
    </xf>
    <xf numFmtId="165" fontId="20" fillId="0" borderId="15" xfId="0" applyNumberFormat="1" applyFont="1" applyBorder="1" applyAlignment="1">
      <alignment vertical="center" readingOrder="1"/>
    </xf>
    <xf numFmtId="0" fontId="6" fillId="0" borderId="0" xfId="0" applyFont="1" applyBorder="1" applyAlignment="1">
      <alignment shrinkToFit="1"/>
    </xf>
    <xf numFmtId="165" fontId="6" fillId="0" borderId="0" xfId="3" applyNumberFormat="1" applyFont="1" applyBorder="1" applyAlignment="1">
      <alignment horizontal="right"/>
    </xf>
    <xf numFmtId="43" fontId="6" fillId="0" borderId="0" xfId="3" applyFont="1" applyFill="1" applyAlignment="1" applyProtection="1">
      <alignment horizontal="right" shrinkToFit="1"/>
      <protection hidden="1"/>
    </xf>
    <xf numFmtId="165" fontId="6" fillId="0" borderId="0" xfId="0" applyNumberFormat="1" applyFont="1" applyFill="1" applyAlignment="1" applyProtection="1">
      <alignment horizontal="left" wrapText="1"/>
      <protection hidden="1"/>
    </xf>
    <xf numFmtId="165" fontId="10" fillId="0" borderId="0" xfId="0" applyNumberFormat="1" applyFont="1" applyFill="1" applyAlignment="1" applyProtection="1">
      <protection hidden="1"/>
    </xf>
    <xf numFmtId="165" fontId="6" fillId="0" borderId="0" xfId="0" applyNumberFormat="1" applyFont="1" applyFill="1" applyAlignment="1" applyProtection="1">
      <protection hidden="1"/>
    </xf>
    <xf numFmtId="0" fontId="6" fillId="0" borderId="0" xfId="0" applyFont="1" applyFill="1" applyBorder="1" applyAlignment="1" applyProtection="1">
      <alignment horizontal="right"/>
      <protection hidden="1"/>
    </xf>
    <xf numFmtId="0" fontId="6" fillId="0" borderId="0" xfId="0" applyFont="1" applyAlignment="1" applyProtection="1">
      <alignment horizontal="left"/>
      <protection hidden="1"/>
    </xf>
    <xf numFmtId="0" fontId="6" fillId="0" borderId="0" xfId="0" applyFont="1" applyAlignment="1" applyProtection="1">
      <alignment horizontal="right"/>
      <protection hidden="1"/>
    </xf>
    <xf numFmtId="0" fontId="6" fillId="0" borderId="0" xfId="0" applyFont="1" applyBorder="1" applyProtection="1">
      <protection hidden="1"/>
    </xf>
    <xf numFmtId="0" fontId="6" fillId="0" borderId="0" xfId="0" applyFont="1" applyBorder="1" applyAlignment="1" applyProtection="1">
      <alignment horizontal="right"/>
      <protection hidden="1"/>
    </xf>
    <xf numFmtId="9" fontId="10" fillId="2" borderId="0" xfId="7" applyFont="1" applyFill="1" applyBorder="1" applyAlignment="1" applyProtection="1">
      <alignment horizontal="right"/>
      <protection locked="0"/>
    </xf>
    <xf numFmtId="0" fontId="6" fillId="0" borderId="6" xfId="0" applyFont="1" applyBorder="1" applyProtection="1">
      <protection hidden="1"/>
    </xf>
    <xf numFmtId="0" fontId="6" fillId="0" borderId="6" xfId="0" applyFont="1" applyBorder="1" applyAlignment="1" applyProtection="1">
      <alignment horizontal="right"/>
      <protection hidden="1"/>
    </xf>
    <xf numFmtId="165" fontId="6" fillId="0" borderId="0" xfId="3" applyNumberFormat="1" applyFont="1" applyProtection="1">
      <protection hidden="1"/>
    </xf>
    <xf numFmtId="165" fontId="6" fillId="3" borderId="6" xfId="0" applyNumberFormat="1" applyFont="1" applyFill="1" applyBorder="1" applyProtection="1">
      <protection locked="0"/>
    </xf>
    <xf numFmtId="0" fontId="57" fillId="0" borderId="0" xfId="0" applyFont="1" applyBorder="1" applyAlignment="1" applyProtection="1">
      <alignment horizontal="left"/>
      <protection hidden="1"/>
    </xf>
    <xf numFmtId="3" fontId="6" fillId="0" borderId="0" xfId="0" applyNumberFormat="1" applyFont="1" applyBorder="1" applyProtection="1">
      <protection hidden="1"/>
    </xf>
    <xf numFmtId="3" fontId="6" fillId="0" borderId="0" xfId="0" applyNumberFormat="1" applyFont="1" applyFill="1" applyBorder="1" applyProtection="1">
      <protection hidden="1"/>
    </xf>
    <xf numFmtId="0" fontId="10" fillId="0" borderId="6" xfId="0" applyFont="1" applyBorder="1" applyAlignment="1" applyProtection="1">
      <alignment horizontal="right" wrapText="1"/>
      <protection hidden="1"/>
    </xf>
    <xf numFmtId="0" fontId="10" fillId="0" borderId="6" xfId="0" applyFont="1" applyFill="1" applyBorder="1" applyAlignment="1" applyProtection="1">
      <alignment horizontal="right" wrapText="1"/>
      <protection hidden="1"/>
    </xf>
    <xf numFmtId="0" fontId="10" fillId="0" borderId="0" xfId="0" applyFont="1" applyAlignment="1" applyProtection="1">
      <alignment wrapText="1"/>
      <protection hidden="1"/>
    </xf>
    <xf numFmtId="3" fontId="6" fillId="0" borderId="0" xfId="3" applyNumberFormat="1" applyFont="1" applyAlignment="1" applyProtection="1">
      <alignment horizontal="right" shrinkToFit="1"/>
      <protection hidden="1"/>
    </xf>
    <xf numFmtId="3" fontId="6" fillId="0" borderId="0" xfId="3" applyNumberFormat="1" applyFont="1" applyFill="1" applyAlignment="1" applyProtection="1">
      <alignment horizontal="right" shrinkToFit="1"/>
      <protection hidden="1"/>
    </xf>
    <xf numFmtId="3" fontId="6" fillId="0" borderId="0" xfId="3" applyNumberFormat="1" applyFont="1" applyProtection="1">
      <protection hidden="1"/>
    </xf>
    <xf numFmtId="3" fontId="10" fillId="0" borderId="0" xfId="3" applyNumberFormat="1" applyFont="1" applyBorder="1" applyAlignment="1" applyProtection="1">
      <alignment horizontal="right" shrinkToFit="1"/>
      <protection hidden="1"/>
    </xf>
    <xf numFmtId="3" fontId="10" fillId="0" borderId="0" xfId="3" applyNumberFormat="1" applyFont="1" applyFill="1" applyBorder="1" applyAlignment="1" applyProtection="1">
      <alignment horizontal="right" shrinkToFit="1"/>
      <protection hidden="1"/>
    </xf>
    <xf numFmtId="165" fontId="10" fillId="0" borderId="44" xfId="3" applyNumberFormat="1" applyFont="1" applyBorder="1" applyAlignment="1" applyProtection="1">
      <alignment horizontal="right" shrinkToFit="1"/>
      <protection hidden="1"/>
    </xf>
    <xf numFmtId="0" fontId="6" fillId="2" borderId="0" xfId="0" applyFont="1" applyFill="1" applyAlignment="1" applyProtection="1">
      <alignment horizontal="right"/>
      <protection locked="0"/>
    </xf>
    <xf numFmtId="164" fontId="6" fillId="0" borderId="0" xfId="7" applyNumberFormat="1" applyFont="1" applyFill="1" applyAlignment="1" applyProtection="1">
      <alignment horizontal="right"/>
      <protection hidden="1"/>
    </xf>
    <xf numFmtId="6" fontId="6" fillId="0" borderId="0" xfId="0" applyNumberFormat="1" applyFont="1" applyFill="1" applyAlignment="1" applyProtection="1">
      <alignment horizontal="right"/>
      <protection hidden="1"/>
    </xf>
    <xf numFmtId="165" fontId="6" fillId="0" borderId="0" xfId="0" applyNumberFormat="1" applyFont="1" applyAlignment="1" applyProtection="1">
      <alignment horizontal="right"/>
      <protection hidden="1"/>
    </xf>
    <xf numFmtId="0" fontId="20" fillId="0" borderId="0" xfId="0" applyFont="1" applyAlignment="1">
      <alignment horizontal="left" shrinkToFit="1"/>
    </xf>
    <xf numFmtId="0" fontId="20" fillId="0" borderId="0" xfId="0" applyFont="1" applyAlignment="1">
      <alignment horizontal="right" shrinkToFit="1"/>
    </xf>
    <xf numFmtId="10" fontId="20" fillId="0" borderId="0" xfId="7" applyNumberFormat="1" applyFont="1" applyAlignment="1">
      <alignment horizontal="right" shrinkToFit="1"/>
    </xf>
    <xf numFmtId="0" fontId="20" fillId="0" borderId="0" xfId="0" applyFont="1" applyBorder="1" applyAlignment="1">
      <alignment horizontal="right" shrinkToFit="1"/>
    </xf>
    <xf numFmtId="0" fontId="20" fillId="0" borderId="6" xfId="0" applyFont="1" applyBorder="1" applyAlignment="1">
      <alignment horizontal="left" shrinkToFit="1"/>
    </xf>
    <xf numFmtId="0" fontId="20" fillId="0" borderId="6" xfId="0" applyFont="1" applyBorder="1" applyAlignment="1">
      <alignment horizontal="right" shrinkToFit="1"/>
    </xf>
    <xf numFmtId="10" fontId="20" fillId="0" borderId="6" xfId="7" applyNumberFormat="1" applyFont="1" applyBorder="1" applyAlignment="1">
      <alignment horizontal="right" shrinkToFit="1"/>
    </xf>
    <xf numFmtId="1" fontId="20" fillId="0" borderId="6" xfId="0" applyNumberFormat="1" applyFont="1" applyBorder="1" applyAlignment="1">
      <alignment horizontal="right" shrinkToFit="1"/>
    </xf>
    <xf numFmtId="165" fontId="20" fillId="0" borderId="0" xfId="3" applyNumberFormat="1" applyFont="1" applyAlignment="1">
      <alignment horizontal="right" shrinkToFit="1"/>
    </xf>
    <xf numFmtId="165" fontId="20" fillId="0" borderId="0" xfId="3" applyNumberFormat="1" applyFont="1" applyAlignment="1">
      <alignment horizontal="left" shrinkToFit="1"/>
    </xf>
    <xf numFmtId="9" fontId="25" fillId="0" borderId="0" xfId="7" applyFont="1" applyAlignment="1" applyProtection="1">
      <alignment horizontal="right"/>
      <protection hidden="1"/>
    </xf>
    <xf numFmtId="165" fontId="25" fillId="0" borderId="0" xfId="3" applyNumberFormat="1" applyFont="1" applyAlignment="1" applyProtection="1">
      <alignment horizontal="right"/>
      <protection hidden="1"/>
    </xf>
    <xf numFmtId="0" fontId="25" fillId="0" borderId="0" xfId="0" applyFont="1" applyAlignment="1" applyProtection="1">
      <alignment horizontal="left"/>
      <protection hidden="1"/>
    </xf>
    <xf numFmtId="165" fontId="4" fillId="0" borderId="0" xfId="3" applyNumberFormat="1" applyFont="1" applyAlignment="1" applyProtection="1">
      <alignment horizontal="right"/>
      <protection hidden="1"/>
    </xf>
    <xf numFmtId="9" fontId="4" fillId="0" borderId="0" xfId="7" applyFont="1" applyAlignment="1" applyProtection="1">
      <alignment horizontal="right"/>
      <protection hidden="1"/>
    </xf>
    <xf numFmtId="0" fontId="20" fillId="0" borderId="6" xfId="0" applyFont="1" applyBorder="1" applyAlignment="1" applyProtection="1">
      <alignment wrapText="1"/>
      <protection hidden="1"/>
    </xf>
    <xf numFmtId="0" fontId="20" fillId="0" borderId="6" xfId="0" applyFont="1" applyBorder="1" applyAlignment="1" applyProtection="1">
      <alignment horizontal="right" wrapText="1"/>
      <protection hidden="1"/>
    </xf>
    <xf numFmtId="165" fontId="20" fillId="0" borderId="6" xfId="3" applyNumberFormat="1" applyFont="1" applyBorder="1" applyAlignment="1" applyProtection="1">
      <alignment horizontal="right" wrapText="1"/>
      <protection hidden="1"/>
    </xf>
    <xf numFmtId="9" fontId="20" fillId="0" borderId="6" xfId="7" applyFont="1" applyBorder="1" applyAlignment="1" applyProtection="1">
      <alignment horizontal="right" wrapText="1"/>
      <protection hidden="1"/>
    </xf>
    <xf numFmtId="0" fontId="20" fillId="0" borderId="0" xfId="0" applyFont="1" applyProtection="1">
      <protection hidden="1"/>
    </xf>
    <xf numFmtId="0" fontId="20" fillId="0" borderId="0" xfId="0" applyFont="1" applyAlignment="1" applyProtection="1">
      <alignment horizontal="right"/>
      <protection hidden="1"/>
    </xf>
    <xf numFmtId="1" fontId="4" fillId="0" borderId="0" xfId="3" applyNumberFormat="1" applyFont="1" applyAlignment="1" applyProtection="1">
      <alignment horizontal="right"/>
      <protection hidden="1"/>
    </xf>
    <xf numFmtId="1" fontId="4" fillId="3" borderId="0" xfId="3" applyNumberFormat="1" applyFont="1" applyFill="1" applyAlignment="1" applyProtection="1">
      <alignment horizontal="right"/>
      <protection locked="0"/>
    </xf>
    <xf numFmtId="165" fontId="4" fillId="3" borderId="0" xfId="3" applyNumberFormat="1" applyFont="1" applyFill="1" applyAlignment="1" applyProtection="1">
      <alignment horizontal="right"/>
      <protection locked="0"/>
    </xf>
    <xf numFmtId="1" fontId="4" fillId="0" borderId="0" xfId="3" applyNumberFormat="1" applyFont="1" applyBorder="1" applyAlignment="1" applyProtection="1">
      <alignment horizontal="right"/>
      <protection hidden="1"/>
    </xf>
    <xf numFmtId="1" fontId="4" fillId="3" borderId="0" xfId="3" applyNumberFormat="1" applyFont="1" applyFill="1" applyBorder="1" applyAlignment="1" applyProtection="1">
      <alignment horizontal="right"/>
      <protection locked="0"/>
    </xf>
    <xf numFmtId="165" fontId="4" fillId="0" borderId="0" xfId="3" applyNumberFormat="1" applyFont="1" applyBorder="1" applyAlignment="1" applyProtection="1">
      <alignment horizontal="right"/>
      <protection hidden="1"/>
    </xf>
    <xf numFmtId="174" fontId="20" fillId="0" borderId="23" xfId="0" applyNumberFormat="1" applyFont="1" applyBorder="1" applyProtection="1">
      <protection hidden="1"/>
    </xf>
    <xf numFmtId="1" fontId="20" fillId="0" borderId="24" xfId="0" applyNumberFormat="1" applyFont="1" applyBorder="1" applyAlignment="1" applyProtection="1">
      <alignment horizontal="right"/>
      <protection hidden="1"/>
    </xf>
    <xf numFmtId="1" fontId="20" fillId="0" borderId="24" xfId="3" applyNumberFormat="1" applyFont="1" applyBorder="1" applyAlignment="1" applyProtection="1">
      <alignment horizontal="right"/>
      <protection hidden="1"/>
    </xf>
    <xf numFmtId="9" fontId="20" fillId="0" borderId="24" xfId="7" applyFont="1" applyBorder="1" applyAlignment="1" applyProtection="1">
      <alignment horizontal="right"/>
      <protection hidden="1"/>
    </xf>
    <xf numFmtId="165" fontId="20" fillId="0" borderId="47" xfId="3" applyNumberFormat="1" applyFont="1" applyBorder="1" applyAlignment="1" applyProtection="1">
      <alignment horizontal="right"/>
      <protection hidden="1"/>
    </xf>
    <xf numFmtId="165" fontId="20" fillId="0" borderId="0" xfId="3" applyNumberFormat="1" applyFont="1" applyBorder="1" applyAlignment="1" applyProtection="1">
      <alignment horizontal="right"/>
      <protection hidden="1"/>
    </xf>
    <xf numFmtId="165" fontId="20" fillId="0" borderId="33" xfId="3" applyNumberFormat="1" applyFont="1" applyFill="1" applyBorder="1" applyAlignment="1" applyProtection="1">
      <alignment horizontal="left"/>
      <protection hidden="1"/>
    </xf>
    <xf numFmtId="165" fontId="20" fillId="0" borderId="14" xfId="3" applyNumberFormat="1" applyFont="1" applyFill="1" applyBorder="1" applyAlignment="1" applyProtection="1">
      <alignment horizontal="right"/>
      <protection hidden="1"/>
    </xf>
    <xf numFmtId="165" fontId="20" fillId="0" borderId="15" xfId="3" applyNumberFormat="1" applyFont="1" applyFill="1" applyBorder="1" applyAlignment="1" applyProtection="1">
      <alignment horizontal="right"/>
      <protection hidden="1"/>
    </xf>
    <xf numFmtId="174" fontId="20" fillId="0" borderId="0" xfId="0" applyNumberFormat="1" applyFont="1" applyBorder="1" applyProtection="1">
      <protection hidden="1"/>
    </xf>
    <xf numFmtId="1" fontId="20" fillId="0" borderId="0" xfId="0" applyNumberFormat="1" applyFont="1" applyBorder="1" applyAlignment="1" applyProtection="1">
      <alignment horizontal="right"/>
      <protection hidden="1"/>
    </xf>
    <xf numFmtId="1" fontId="20" fillId="0" borderId="0" xfId="3" applyNumberFormat="1" applyFont="1" applyBorder="1" applyAlignment="1" applyProtection="1">
      <alignment horizontal="right"/>
      <protection hidden="1"/>
    </xf>
    <xf numFmtId="9" fontId="20" fillId="0" borderId="0" xfId="7" applyFont="1" applyBorder="1" applyAlignment="1" applyProtection="1">
      <alignment horizontal="right"/>
      <protection hidden="1"/>
    </xf>
    <xf numFmtId="165" fontId="20" fillId="0" borderId="34" xfId="3" applyNumberFormat="1" applyFont="1" applyFill="1" applyBorder="1" applyAlignment="1" applyProtection="1">
      <alignment horizontal="left"/>
      <protection hidden="1"/>
    </xf>
    <xf numFmtId="165" fontId="20" fillId="0" borderId="12" xfId="3" applyNumberFormat="1" applyFont="1" applyFill="1" applyBorder="1" applyAlignment="1" applyProtection="1">
      <alignment horizontal="right"/>
      <protection hidden="1"/>
    </xf>
    <xf numFmtId="165" fontId="20" fillId="0" borderId="56" xfId="3" applyNumberFormat="1" applyFont="1" applyFill="1" applyBorder="1" applyAlignment="1" applyProtection="1">
      <alignment horizontal="right"/>
      <protection hidden="1"/>
    </xf>
    <xf numFmtId="165" fontId="20" fillId="0" borderId="23" xfId="3" applyNumberFormat="1" applyFont="1" applyBorder="1" applyAlignment="1" applyProtection="1">
      <alignment horizontal="left"/>
      <protection hidden="1"/>
    </xf>
    <xf numFmtId="165" fontId="4" fillId="0" borderId="24" xfId="3" applyNumberFormat="1" applyFont="1" applyBorder="1" applyAlignment="1" applyProtection="1">
      <alignment horizontal="right"/>
      <protection hidden="1"/>
    </xf>
    <xf numFmtId="165" fontId="20" fillId="0" borderId="47" xfId="0" applyNumberFormat="1" applyFont="1" applyBorder="1" applyProtection="1">
      <protection hidden="1"/>
    </xf>
    <xf numFmtId="0" fontId="25" fillId="0" borderId="0" xfId="0" applyFont="1" applyAlignment="1">
      <alignment horizontal="left"/>
    </xf>
    <xf numFmtId="165" fontId="25" fillId="0" borderId="0" xfId="3" applyNumberFormat="1" applyFont="1" applyAlignment="1">
      <alignment horizontal="left"/>
    </xf>
    <xf numFmtId="0" fontId="25" fillId="0" borderId="0" xfId="0" applyFont="1" applyAlignment="1" applyProtection="1">
      <alignment horizontal="left" wrapText="1"/>
      <protection locked="0"/>
    </xf>
    <xf numFmtId="0" fontId="20" fillId="0" borderId="2" xfId="0" applyFont="1" applyBorder="1"/>
    <xf numFmtId="165" fontId="20" fillId="0" borderId="2" xfId="3" applyNumberFormat="1" applyFont="1" applyBorder="1"/>
    <xf numFmtId="165" fontId="20" fillId="0" borderId="2" xfId="3" applyNumberFormat="1" applyFont="1" applyBorder="1" applyAlignment="1" applyProtection="1">
      <alignment wrapText="1"/>
      <protection locked="0"/>
    </xf>
    <xf numFmtId="165" fontId="6" fillId="0" borderId="0" xfId="3" applyNumberFormat="1" applyFont="1" applyBorder="1" applyProtection="1">
      <protection hidden="1"/>
    </xf>
    <xf numFmtId="165" fontId="6" fillId="3" borderId="0" xfId="3" applyNumberFormat="1" applyFont="1" applyFill="1" applyBorder="1" applyProtection="1">
      <protection locked="0"/>
    </xf>
    <xf numFmtId="165" fontId="6" fillId="0" borderId="0" xfId="3" applyNumberFormat="1" applyFont="1" applyBorder="1"/>
    <xf numFmtId="0" fontId="6" fillId="0" borderId="0" xfId="0" applyFont="1" applyBorder="1" applyAlignment="1" applyProtection="1">
      <alignment wrapText="1"/>
      <protection locked="0"/>
    </xf>
    <xf numFmtId="0" fontId="10" fillId="0" borderId="14" xfId="0" applyFont="1" applyBorder="1"/>
    <xf numFmtId="165" fontId="10" fillId="0" borderId="14" xfId="3" applyNumberFormat="1" applyFont="1" applyBorder="1"/>
    <xf numFmtId="0" fontId="10" fillId="0" borderId="14" xfId="0" applyFont="1" applyBorder="1" applyAlignment="1" applyProtection="1">
      <alignment wrapText="1"/>
      <protection locked="0"/>
    </xf>
    <xf numFmtId="165" fontId="10" fillId="0" borderId="14" xfId="3" applyNumberFormat="1" applyFont="1" applyBorder="1" applyProtection="1"/>
    <xf numFmtId="0" fontId="10" fillId="0" borderId="45" xfId="0" applyFont="1" applyBorder="1"/>
    <xf numFmtId="165" fontId="10" fillId="0" borderId="45" xfId="3" applyNumberFormat="1" applyFont="1" applyBorder="1"/>
    <xf numFmtId="0" fontId="10" fillId="0" borderId="45" xfId="0" applyFont="1" applyBorder="1" applyAlignment="1" applyProtection="1">
      <alignment wrapText="1"/>
      <protection locked="0"/>
    </xf>
    <xf numFmtId="165" fontId="20" fillId="0" borderId="0" xfId="3" applyNumberFormat="1" applyFont="1"/>
    <xf numFmtId="0" fontId="20" fillId="0" borderId="0" xfId="0" applyFont="1" applyAlignment="1" applyProtection="1">
      <alignment wrapText="1"/>
      <protection locked="0"/>
    </xf>
    <xf numFmtId="9" fontId="20" fillId="0" borderId="44" xfId="7" applyFont="1" applyBorder="1"/>
    <xf numFmtId="0" fontId="20" fillId="0" borderId="20" xfId="0" applyFont="1" applyBorder="1"/>
    <xf numFmtId="165" fontId="20" fillId="0" borderId="7" xfId="3" applyNumberFormat="1" applyFont="1" applyBorder="1"/>
    <xf numFmtId="0" fontId="4" fillId="0" borderId="0" xfId="0" applyFont="1" applyFill="1" applyProtection="1">
      <protection hidden="1"/>
    </xf>
    <xf numFmtId="0" fontId="4" fillId="0" borderId="0" xfId="0" applyFont="1" applyFill="1" applyAlignment="1" applyProtection="1">
      <alignment horizontal="right" shrinkToFit="1"/>
      <protection hidden="1"/>
    </xf>
    <xf numFmtId="0" fontId="4" fillId="0" borderId="0" xfId="0" applyFont="1" applyFill="1" applyAlignment="1" applyProtection="1">
      <protection hidden="1"/>
    </xf>
    <xf numFmtId="0" fontId="26" fillId="0" borderId="0" xfId="0" applyNumberFormat="1" applyFont="1" applyFill="1" applyBorder="1" applyAlignment="1" applyProtection="1">
      <alignment horizontal="left"/>
      <protection hidden="1"/>
    </xf>
    <xf numFmtId="0" fontId="26" fillId="0" borderId="0" xfId="0" applyNumberFormat="1" applyFont="1" applyFill="1" applyBorder="1" applyAlignment="1" applyProtection="1">
      <protection hidden="1"/>
    </xf>
    <xf numFmtId="165" fontId="4" fillId="0" borderId="0" xfId="3" applyNumberFormat="1" applyFont="1" applyFill="1" applyAlignment="1" applyProtection="1">
      <alignment horizontal="right" shrinkToFit="1"/>
      <protection hidden="1"/>
    </xf>
    <xf numFmtId="169" fontId="4" fillId="0" borderId="0" xfId="0" applyNumberFormat="1" applyFont="1" applyFill="1" applyAlignment="1" applyProtection="1">
      <protection hidden="1"/>
    </xf>
    <xf numFmtId="0" fontId="4" fillId="0" borderId="0" xfId="0" applyFont="1" applyFill="1" applyAlignment="1" applyProtection="1">
      <alignment horizontal="left"/>
      <protection hidden="1"/>
    </xf>
    <xf numFmtId="0" fontId="4" fillId="0" borderId="0" xfId="0" applyFont="1" applyFill="1" applyAlignment="1" applyProtection="1">
      <alignment horizontal="right"/>
      <protection hidden="1"/>
    </xf>
    <xf numFmtId="168" fontId="4" fillId="0" borderId="0" xfId="0" applyNumberFormat="1" applyFont="1" applyFill="1" applyAlignment="1" applyProtection="1">
      <protection hidden="1"/>
    </xf>
    <xf numFmtId="0" fontId="4" fillId="0" borderId="0" xfId="0" applyFont="1" applyFill="1" applyAlignment="1" applyProtection="1">
      <alignment horizontal="left" shrinkToFit="1"/>
      <protection hidden="1"/>
    </xf>
    <xf numFmtId="0" fontId="4" fillId="0" borderId="0" xfId="0" applyFont="1" applyFill="1" applyAlignment="1" applyProtection="1">
      <alignment shrinkToFit="1"/>
      <protection hidden="1"/>
    </xf>
    <xf numFmtId="180" fontId="4" fillId="0" borderId="0" xfId="3" applyNumberFormat="1" applyFont="1" applyFill="1" applyAlignment="1" applyProtection="1">
      <protection hidden="1"/>
    </xf>
    <xf numFmtId="169" fontId="4" fillId="0" borderId="0" xfId="0" applyNumberFormat="1" applyFont="1" applyFill="1" applyAlignment="1" applyProtection="1">
      <alignment horizontal="right"/>
      <protection hidden="1"/>
    </xf>
    <xf numFmtId="169" fontId="4" fillId="0" borderId="0" xfId="0" applyNumberFormat="1" applyFont="1" applyFill="1" applyAlignment="1" applyProtection="1">
      <alignment shrinkToFit="1"/>
      <protection hidden="1"/>
    </xf>
    <xf numFmtId="1" fontId="4" fillId="3" borderId="0" xfId="3" applyNumberFormat="1" applyFont="1" applyFill="1" applyAlignment="1" applyProtection="1">
      <alignment shrinkToFit="1"/>
      <protection locked="0"/>
    </xf>
    <xf numFmtId="1" fontId="4" fillId="0" borderId="0" xfId="3" applyNumberFormat="1" applyFont="1" applyFill="1" applyAlignment="1" applyProtection="1">
      <alignment horizontal="right" shrinkToFit="1"/>
      <protection hidden="1"/>
    </xf>
    <xf numFmtId="165" fontId="20" fillId="0" borderId="0" xfId="3" applyNumberFormat="1" applyFont="1" applyAlignment="1">
      <alignment shrinkToFit="1"/>
    </xf>
    <xf numFmtId="165" fontId="20" fillId="0" borderId="0" xfId="3" applyNumberFormat="1" applyFont="1" applyBorder="1" applyAlignment="1">
      <alignment horizontal="center"/>
    </xf>
    <xf numFmtId="165" fontId="20" fillId="0" borderId="0" xfId="3" applyNumberFormat="1" applyFont="1" applyBorder="1"/>
    <xf numFmtId="9" fontId="20" fillId="0" borderId="0" xfId="7" applyFont="1" applyBorder="1" applyAlignment="1">
      <alignment horizontal="right"/>
    </xf>
    <xf numFmtId="0" fontId="28" fillId="0" borderId="17" xfId="0" applyFont="1" applyBorder="1" applyAlignment="1"/>
    <xf numFmtId="0" fontId="28" fillId="0" borderId="18" xfId="0" applyFont="1" applyBorder="1" applyAlignment="1"/>
    <xf numFmtId="0" fontId="20" fillId="0" borderId="5" xfId="0" applyFont="1" applyBorder="1" applyAlignment="1">
      <alignment horizontal="center"/>
    </xf>
    <xf numFmtId="0" fontId="20" fillId="0" borderId="0" xfId="0" applyFont="1" applyBorder="1" applyAlignment="1">
      <alignment horizontal="center"/>
    </xf>
    <xf numFmtId="0" fontId="20" fillId="0" borderId="46" xfId="0" applyFont="1" applyBorder="1"/>
    <xf numFmtId="0" fontId="20" fillId="0" borderId="6" xfId="0" applyFont="1" applyBorder="1" applyAlignment="1">
      <alignment horizontal="right"/>
    </xf>
    <xf numFmtId="0" fontId="20" fillId="0" borderId="11" xfId="0" applyFont="1" applyBorder="1" applyAlignment="1">
      <alignment horizontal="right"/>
    </xf>
    <xf numFmtId="0" fontId="20" fillId="0" borderId="35" xfId="0" applyFont="1" applyBorder="1" applyAlignment="1">
      <alignment horizontal="right"/>
    </xf>
    <xf numFmtId="0" fontId="20" fillId="0" borderId="4" xfId="0" applyFont="1" applyBorder="1" applyAlignment="1">
      <alignment horizontal="right"/>
    </xf>
    <xf numFmtId="165" fontId="20" fillId="0" borderId="2" xfId="3" applyNumberFormat="1" applyFont="1" applyBorder="1" applyAlignment="1">
      <alignment shrinkToFit="1"/>
    </xf>
    <xf numFmtId="0" fontId="20" fillId="0" borderId="2" xfId="0" applyFont="1" applyBorder="1" applyAlignment="1">
      <alignment shrinkToFit="1"/>
    </xf>
    <xf numFmtId="43" fontId="20" fillId="0" borderId="71" xfId="3" applyFont="1" applyBorder="1" applyAlignment="1">
      <alignment horizontal="right" shrinkToFit="1"/>
    </xf>
    <xf numFmtId="43" fontId="20" fillId="0" borderId="7" xfId="3" applyFont="1" applyBorder="1" applyAlignment="1">
      <alignment horizontal="right" shrinkToFit="1"/>
    </xf>
    <xf numFmtId="1" fontId="20" fillId="0" borderId="6" xfId="0" applyNumberFormat="1" applyFont="1" applyBorder="1"/>
    <xf numFmtId="1" fontId="20" fillId="0" borderId="11" xfId="0" applyNumberFormat="1" applyFont="1" applyBorder="1"/>
    <xf numFmtId="165" fontId="20" fillId="0" borderId="3" xfId="3" applyNumberFormat="1" applyFont="1" applyBorder="1"/>
    <xf numFmtId="165" fontId="4" fillId="0" borderId="3" xfId="3" applyNumberFormat="1" applyFont="1" applyBorder="1"/>
    <xf numFmtId="0" fontId="20" fillId="0" borderId="5" xfId="0" applyFont="1" applyBorder="1"/>
    <xf numFmtId="165" fontId="20" fillId="0" borderId="13" xfId="3" applyNumberFormat="1" applyFont="1" applyBorder="1"/>
    <xf numFmtId="165" fontId="20" fillId="0" borderId="3" xfId="0" applyNumberFormat="1" applyFont="1" applyBorder="1"/>
    <xf numFmtId="43" fontId="20" fillId="0" borderId="7" xfId="0" applyNumberFormat="1" applyFont="1" applyBorder="1"/>
    <xf numFmtId="0" fontId="25" fillId="0" borderId="0" xfId="0" applyFont="1"/>
    <xf numFmtId="0" fontId="26" fillId="0" borderId="0" xfId="0" applyFont="1" applyAlignment="1">
      <alignment horizontal="left" wrapText="1"/>
    </xf>
    <xf numFmtId="165" fontId="20" fillId="0" borderId="0" xfId="3" applyNumberFormat="1" applyFont="1" applyFill="1" applyAlignment="1">
      <alignment horizontal="right"/>
    </xf>
    <xf numFmtId="165" fontId="20" fillId="0" borderId="0" xfId="3" applyNumberFormat="1" applyFont="1" applyAlignment="1">
      <alignment horizontal="right"/>
    </xf>
    <xf numFmtId="0" fontId="20" fillId="0" borderId="0" xfId="0" applyFont="1" applyBorder="1" applyAlignment="1">
      <alignment horizontal="left"/>
    </xf>
    <xf numFmtId="0" fontId="20" fillId="0" borderId="0" xfId="0" applyFont="1" applyBorder="1" applyAlignment="1" applyProtection="1">
      <alignment horizontal="center"/>
      <protection hidden="1"/>
    </xf>
    <xf numFmtId="0" fontId="20" fillId="0" borderId="0" xfId="0" applyFont="1" applyAlignment="1">
      <alignment horizontal="left" wrapText="1"/>
    </xf>
    <xf numFmtId="0" fontId="20" fillId="0" borderId="0" xfId="0" applyFont="1" applyAlignment="1">
      <alignment horizontal="center"/>
    </xf>
    <xf numFmtId="0" fontId="20" fillId="0" borderId="29" xfId="0" applyFont="1" applyBorder="1" applyAlignment="1">
      <alignment horizontal="center"/>
    </xf>
    <xf numFmtId="0" fontId="20" fillId="0" borderId="0" xfId="0" applyFont="1" applyFill="1" applyBorder="1"/>
    <xf numFmtId="0" fontId="20" fillId="0" borderId="29" xfId="0" applyFont="1" applyBorder="1" applyAlignment="1">
      <alignment horizontal="right"/>
    </xf>
    <xf numFmtId="0" fontId="20" fillId="0" borderId="21" xfId="0" applyFont="1" applyBorder="1" applyAlignment="1">
      <alignment horizontal="left" wrapText="1"/>
    </xf>
    <xf numFmtId="0" fontId="20" fillId="0" borderId="21" xfId="0" applyFont="1" applyBorder="1" applyAlignment="1">
      <alignment horizontal="right"/>
    </xf>
    <xf numFmtId="0" fontId="20" fillId="0" borderId="0" xfId="0" applyFont="1" applyFill="1" applyBorder="1" applyAlignment="1">
      <alignment horizontal="left" wrapText="1"/>
    </xf>
    <xf numFmtId="0" fontId="20" fillId="0" borderId="0" xfId="0" applyFont="1" applyFill="1" applyBorder="1" applyAlignment="1">
      <alignment horizontal="right"/>
    </xf>
    <xf numFmtId="172" fontId="20" fillId="0" borderId="29" xfId="0" applyNumberFormat="1" applyFont="1" applyBorder="1" applyAlignment="1">
      <alignment horizontal="left" wrapText="1"/>
    </xf>
    <xf numFmtId="172" fontId="20" fillId="0" borderId="29" xfId="0" applyNumberFormat="1" applyFont="1" applyBorder="1" applyAlignment="1">
      <alignment horizontal="right"/>
    </xf>
    <xf numFmtId="172" fontId="20" fillId="0" borderId="22" xfId="0" applyNumberFormat="1" applyFont="1" applyBorder="1" applyAlignment="1">
      <alignment horizontal="left" wrapText="1"/>
    </xf>
    <xf numFmtId="172" fontId="20" fillId="0" borderId="22" xfId="0" applyNumberFormat="1" applyFont="1" applyBorder="1" applyAlignment="1">
      <alignment horizontal="right"/>
    </xf>
    <xf numFmtId="165" fontId="20" fillId="0" borderId="29" xfId="3" applyNumberFormat="1" applyFont="1" applyBorder="1" applyAlignment="1">
      <alignment horizontal="right"/>
    </xf>
    <xf numFmtId="165" fontId="20" fillId="3" borderId="29" xfId="3" applyNumberFormat="1" applyFont="1" applyFill="1" applyBorder="1" applyAlignment="1" applyProtection="1">
      <alignment horizontal="right"/>
      <protection locked="0"/>
    </xf>
    <xf numFmtId="165" fontId="20" fillId="4" borderId="29" xfId="3" applyNumberFormat="1" applyFont="1" applyFill="1" applyBorder="1" applyAlignment="1" applyProtection="1">
      <alignment horizontal="right"/>
      <protection locked="0"/>
    </xf>
    <xf numFmtId="171" fontId="20" fillId="0" borderId="29" xfId="7" applyNumberFormat="1" applyFont="1" applyBorder="1" applyAlignment="1" applyProtection="1">
      <alignment horizontal="left" wrapText="1"/>
      <protection hidden="1"/>
    </xf>
    <xf numFmtId="171" fontId="20" fillId="0" borderId="29" xfId="7" applyNumberFormat="1" applyFont="1" applyBorder="1" applyAlignment="1" applyProtection="1">
      <alignment horizontal="right"/>
      <protection hidden="1"/>
    </xf>
    <xf numFmtId="165" fontId="20" fillId="0" borderId="29" xfId="3" applyNumberFormat="1" applyFont="1" applyBorder="1" applyAlignment="1">
      <alignment horizontal="left" wrapText="1"/>
    </xf>
    <xf numFmtId="165" fontId="20" fillId="0" borderId="31" xfId="3" applyNumberFormat="1" applyFont="1" applyBorder="1" applyAlignment="1">
      <alignment horizontal="left" wrapText="1"/>
    </xf>
    <xf numFmtId="165" fontId="20" fillId="0" borderId="48" xfId="3" applyNumberFormat="1" applyFont="1" applyFill="1" applyBorder="1" applyAlignment="1">
      <alignment horizontal="left" wrapText="1"/>
    </xf>
    <xf numFmtId="165" fontId="20" fillId="0" borderId="48" xfId="3" applyNumberFormat="1" applyFont="1" applyFill="1" applyBorder="1" applyAlignment="1">
      <alignment horizontal="right"/>
    </xf>
    <xf numFmtId="165" fontId="20" fillId="0" borderId="48" xfId="3" applyNumberFormat="1" applyFont="1" applyFill="1" applyBorder="1" applyAlignment="1" applyProtection="1">
      <alignment horizontal="right"/>
      <protection locked="0"/>
    </xf>
    <xf numFmtId="165" fontId="20" fillId="0" borderId="48" xfId="3" applyNumberFormat="1" applyFont="1" applyFill="1" applyBorder="1" applyAlignment="1" applyProtection="1">
      <alignment horizontal="right"/>
    </xf>
    <xf numFmtId="165" fontId="20" fillId="0" borderId="0" xfId="3" applyNumberFormat="1" applyFont="1" applyFill="1" applyBorder="1" applyAlignment="1">
      <alignment horizontal="left" wrapText="1"/>
    </xf>
    <xf numFmtId="165" fontId="20" fillId="0" borderId="0" xfId="3" applyNumberFormat="1" applyFont="1" applyFill="1" applyBorder="1" applyAlignment="1">
      <alignment horizontal="right"/>
    </xf>
    <xf numFmtId="165" fontId="20" fillId="0" borderId="0" xfId="3" applyNumberFormat="1" applyFont="1" applyFill="1" applyBorder="1" applyAlignment="1" applyProtection="1">
      <alignment horizontal="right"/>
      <protection locked="0"/>
    </xf>
    <xf numFmtId="165" fontId="20" fillId="0" borderId="0" xfId="3" applyNumberFormat="1" applyFont="1" applyFill="1" applyBorder="1" applyAlignment="1" applyProtection="1">
      <alignment horizontal="right"/>
    </xf>
    <xf numFmtId="171" fontId="20" fillId="0" borderId="29" xfId="7" applyNumberFormat="1" applyFont="1" applyBorder="1" applyAlignment="1">
      <alignment horizontal="left" wrapText="1"/>
    </xf>
    <xf numFmtId="171" fontId="20" fillId="0" borderId="29" xfId="7" applyNumberFormat="1" applyFont="1" applyBorder="1" applyAlignment="1">
      <alignment horizontal="right"/>
    </xf>
    <xf numFmtId="165" fontId="20" fillId="0" borderId="22" xfId="3" applyNumberFormat="1" applyFont="1" applyBorder="1" applyAlignment="1">
      <alignment horizontal="left" wrapText="1"/>
    </xf>
    <xf numFmtId="0" fontId="20" fillId="0" borderId="0" xfId="0" applyFont="1" applyAlignment="1">
      <alignment horizontal="left"/>
    </xf>
    <xf numFmtId="165" fontId="20" fillId="0" borderId="0" xfId="3" applyNumberFormat="1" applyFont="1" applyAlignment="1">
      <alignment horizontal="left"/>
    </xf>
    <xf numFmtId="0" fontId="4" fillId="0" borderId="49" xfId="0" applyFont="1" applyBorder="1" applyAlignment="1">
      <alignment horizontal="left"/>
    </xf>
    <xf numFmtId="165" fontId="4" fillId="0" borderId="50" xfId="3" applyNumberFormat="1" applyFont="1" applyBorder="1" applyAlignment="1">
      <alignment horizontal="right"/>
    </xf>
    <xf numFmtId="0" fontId="20" fillId="0" borderId="51" xfId="0" applyFont="1" applyBorder="1" applyAlignment="1">
      <alignment horizontal="left"/>
    </xf>
    <xf numFmtId="165" fontId="20" fillId="0" borderId="52" xfId="3" applyNumberFormat="1" applyFont="1" applyBorder="1" applyAlignment="1">
      <alignment horizontal="right"/>
    </xf>
    <xf numFmtId="0" fontId="20" fillId="5" borderId="33" xfId="0" applyFont="1" applyFill="1" applyBorder="1" applyAlignment="1">
      <alignment horizontal="right" shrinkToFit="1"/>
    </xf>
    <xf numFmtId="0" fontId="20" fillId="5" borderId="53" xfId="0" applyFont="1" applyFill="1" applyBorder="1" applyAlignment="1">
      <alignment horizontal="right" shrinkToFit="1"/>
    </xf>
    <xf numFmtId="0" fontId="20" fillId="5" borderId="15" xfId="0" applyFont="1" applyFill="1" applyBorder="1" applyAlignment="1" applyProtection="1">
      <alignment horizontal="right" shrinkToFit="1"/>
      <protection hidden="1"/>
    </xf>
    <xf numFmtId="0" fontId="20" fillId="5" borderId="29" xfId="0" applyFont="1" applyFill="1" applyBorder="1" applyAlignment="1" applyProtection="1">
      <alignment horizontal="right" shrinkToFit="1"/>
      <protection hidden="1"/>
    </xf>
    <xf numFmtId="0" fontId="20" fillId="0" borderId="0" xfId="0" applyFont="1" applyFill="1" applyBorder="1" applyAlignment="1">
      <alignment horizontal="right" shrinkToFit="1"/>
    </xf>
    <xf numFmtId="0" fontId="20" fillId="0" borderId="54" xfId="0" applyFont="1" applyBorder="1" applyAlignment="1">
      <alignment horizontal="right" shrinkToFit="1"/>
    </xf>
    <xf numFmtId="10" fontId="20" fillId="0" borderId="54" xfId="7" applyNumberFormat="1" applyFont="1" applyBorder="1" applyAlignment="1">
      <alignment horizontal="right" shrinkToFit="1"/>
    </xf>
    <xf numFmtId="10" fontId="20" fillId="5" borderId="34" xfId="7" applyNumberFormat="1" applyFont="1" applyFill="1" applyBorder="1" applyAlignment="1">
      <alignment horizontal="left" wrapText="1"/>
    </xf>
    <xf numFmtId="10" fontId="20" fillId="5" borderId="55" xfId="7" applyNumberFormat="1" applyFont="1" applyFill="1" applyBorder="1" applyAlignment="1">
      <alignment horizontal="right" shrinkToFit="1"/>
    </xf>
    <xf numFmtId="10" fontId="20" fillId="5" borderId="56" xfId="7" applyNumberFormat="1" applyFont="1" applyFill="1" applyBorder="1" applyAlignment="1" applyProtection="1">
      <alignment horizontal="right" shrinkToFit="1"/>
      <protection hidden="1"/>
    </xf>
    <xf numFmtId="10" fontId="20" fillId="5" borderId="21" xfId="7" applyNumberFormat="1" applyFont="1" applyFill="1" applyBorder="1" applyAlignment="1" applyProtection="1">
      <alignment horizontal="right" shrinkToFit="1"/>
      <protection hidden="1"/>
    </xf>
    <xf numFmtId="10" fontId="20" fillId="5" borderId="29" xfId="7" applyNumberFormat="1" applyFont="1" applyFill="1" applyBorder="1" applyAlignment="1" applyProtection="1">
      <alignment horizontal="right" shrinkToFit="1"/>
      <protection hidden="1"/>
    </xf>
    <xf numFmtId="10" fontId="20" fillId="0" borderId="55" xfId="7" applyNumberFormat="1" applyFont="1" applyBorder="1" applyAlignment="1">
      <alignment horizontal="right" shrinkToFit="1"/>
    </xf>
    <xf numFmtId="10" fontId="20" fillId="5" borderId="14" xfId="7" applyNumberFormat="1" applyFont="1" applyFill="1" applyBorder="1" applyAlignment="1">
      <alignment horizontal="left" wrapText="1"/>
    </xf>
    <xf numFmtId="10" fontId="20" fillId="5" borderId="14" xfId="7" applyNumberFormat="1" applyFont="1" applyFill="1" applyBorder="1" applyAlignment="1" applyProtection="1">
      <alignment horizontal="right" shrinkToFit="1"/>
      <protection hidden="1"/>
    </xf>
    <xf numFmtId="0" fontId="20" fillId="5" borderId="29" xfId="0" applyFont="1" applyFill="1" applyBorder="1" applyAlignment="1">
      <alignment horizontal="right" shrinkToFit="1"/>
    </xf>
    <xf numFmtId="10" fontId="4" fillId="0" borderId="6" xfId="7" applyNumberFormat="1" applyFont="1" applyFill="1" applyBorder="1" applyAlignment="1">
      <alignment horizontal="left" wrapText="1"/>
    </xf>
    <xf numFmtId="165" fontId="4" fillId="0" borderId="54" xfId="3" applyNumberFormat="1" applyFont="1" applyBorder="1" applyAlignment="1">
      <alignment horizontal="right" shrinkToFit="1"/>
    </xf>
    <xf numFmtId="165" fontId="4" fillId="0" borderId="11" xfId="3" applyNumberFormat="1" applyFont="1" applyBorder="1" applyAlignment="1">
      <alignment horizontal="right" shrinkToFit="1"/>
    </xf>
    <xf numFmtId="165" fontId="4" fillId="0" borderId="22" xfId="3" applyNumberFormat="1" applyFont="1" applyBorder="1" applyAlignment="1">
      <alignment horizontal="right" shrinkToFit="1"/>
    </xf>
    <xf numFmtId="0" fontId="4" fillId="0" borderId="0" xfId="0" applyFont="1" applyFill="1" applyBorder="1"/>
    <xf numFmtId="165" fontId="20" fillId="0" borderId="54" xfId="3" applyNumberFormat="1" applyFont="1" applyFill="1" applyBorder="1" applyAlignment="1">
      <alignment horizontal="right" shrinkToFit="1"/>
    </xf>
    <xf numFmtId="165" fontId="4" fillId="0" borderId="54" xfId="3" applyNumberFormat="1" applyFont="1" applyFill="1" applyBorder="1" applyAlignment="1">
      <alignment horizontal="right" shrinkToFit="1"/>
    </xf>
    <xf numFmtId="165" fontId="4" fillId="0" borderId="15" xfId="3" applyNumberFormat="1" applyFont="1" applyFill="1" applyBorder="1" applyAlignment="1">
      <alignment horizontal="right" shrinkToFit="1"/>
    </xf>
    <xf numFmtId="165" fontId="4" fillId="0" borderId="29" xfId="3" applyNumberFormat="1" applyFont="1" applyFill="1" applyBorder="1" applyAlignment="1">
      <alignment horizontal="right" shrinkToFit="1"/>
    </xf>
    <xf numFmtId="165" fontId="20" fillId="0" borderId="35" xfId="3" applyNumberFormat="1" applyFont="1" applyBorder="1" applyAlignment="1">
      <alignment horizontal="left" wrapText="1"/>
    </xf>
    <xf numFmtId="165" fontId="20" fillId="0" borderId="61" xfId="3" applyNumberFormat="1" applyFont="1" applyBorder="1" applyAlignment="1">
      <alignment horizontal="right" shrinkToFit="1"/>
    </xf>
    <xf numFmtId="165" fontId="20" fillId="0" borderId="11" xfId="3" applyNumberFormat="1" applyFont="1" applyBorder="1" applyAlignment="1" applyProtection="1">
      <alignment horizontal="right" shrinkToFit="1"/>
      <protection hidden="1"/>
    </xf>
    <xf numFmtId="165" fontId="20" fillId="0" borderId="6" xfId="3" applyNumberFormat="1" applyFont="1" applyBorder="1" applyAlignment="1">
      <alignment horizontal="left" wrapText="1"/>
    </xf>
    <xf numFmtId="165" fontId="20" fillId="0" borderId="6" xfId="3" applyNumberFormat="1" applyFont="1" applyBorder="1" applyAlignment="1" applyProtection="1">
      <alignment horizontal="right" shrinkToFit="1"/>
      <protection hidden="1"/>
    </xf>
    <xf numFmtId="10" fontId="20" fillId="5" borderId="12" xfId="7" applyNumberFormat="1" applyFont="1" applyFill="1" applyBorder="1" applyAlignment="1">
      <alignment horizontal="left" wrapText="1"/>
    </xf>
    <xf numFmtId="10" fontId="20" fillId="5" borderId="55" xfId="7" applyNumberFormat="1" applyFont="1" applyFill="1" applyBorder="1" applyAlignment="1">
      <alignment horizontal="center" shrinkToFit="1"/>
    </xf>
    <xf numFmtId="10" fontId="20" fillId="5" borderId="12" xfId="7" applyNumberFormat="1" applyFont="1" applyFill="1" applyBorder="1" applyAlignment="1" applyProtection="1">
      <alignment horizontal="right" shrinkToFit="1"/>
      <protection hidden="1"/>
    </xf>
    <xf numFmtId="165" fontId="4" fillId="0" borderId="33" xfId="3" applyNumberFormat="1" applyFont="1" applyFill="1" applyBorder="1" applyAlignment="1">
      <alignment horizontal="left" wrapText="1"/>
    </xf>
    <xf numFmtId="165" fontId="4" fillId="0" borderId="15" xfId="3" applyNumberFormat="1" applyFont="1" applyFill="1" applyBorder="1" applyAlignment="1" applyProtection="1">
      <alignment horizontal="right" shrinkToFit="1"/>
      <protection hidden="1"/>
    </xf>
    <xf numFmtId="165" fontId="4" fillId="0" borderId="29" xfId="3" applyNumberFormat="1" applyFont="1" applyFill="1" applyBorder="1" applyAlignment="1" applyProtection="1">
      <alignment horizontal="right" shrinkToFit="1"/>
      <protection hidden="1"/>
    </xf>
    <xf numFmtId="165" fontId="4" fillId="0" borderId="0" xfId="3" applyNumberFormat="1" applyFont="1" applyFill="1" applyBorder="1"/>
    <xf numFmtId="165" fontId="20" fillId="3" borderId="61" xfId="3" applyNumberFormat="1" applyFont="1" applyFill="1" applyBorder="1" applyAlignment="1" applyProtection="1">
      <alignment horizontal="right" shrinkToFit="1"/>
      <protection locked="0"/>
    </xf>
    <xf numFmtId="165" fontId="20" fillId="0" borderId="54" xfId="3" applyNumberFormat="1" applyFont="1" applyBorder="1" applyAlignment="1">
      <alignment horizontal="right" shrinkToFit="1"/>
    </xf>
    <xf numFmtId="10" fontId="4" fillId="0" borderId="54" xfId="7" applyNumberFormat="1" applyFont="1" applyBorder="1" applyAlignment="1">
      <alignment horizontal="right" shrinkToFit="1"/>
    </xf>
    <xf numFmtId="0" fontId="4" fillId="0" borderId="59" xfId="0" applyFont="1" applyBorder="1" applyAlignment="1">
      <alignment horizontal="right" shrinkToFit="1"/>
    </xf>
    <xf numFmtId="165" fontId="20" fillId="0" borderId="11" xfId="3" applyNumberFormat="1" applyFont="1" applyBorder="1" applyAlignment="1">
      <alignment horizontal="right" shrinkToFit="1"/>
    </xf>
    <xf numFmtId="165" fontId="4" fillId="0" borderId="33" xfId="3" applyNumberFormat="1" applyFont="1" applyBorder="1" applyAlignment="1">
      <alignment horizontal="left" wrapText="1"/>
    </xf>
    <xf numFmtId="165" fontId="4" fillId="0" borderId="61" xfId="3" applyNumberFormat="1" applyFont="1" applyBorder="1" applyAlignment="1">
      <alignment horizontal="right" shrinkToFit="1"/>
    </xf>
    <xf numFmtId="165" fontId="28" fillId="0" borderId="62" xfId="3" applyNumberFormat="1" applyFont="1" applyBorder="1" applyAlignment="1">
      <alignment horizontal="left" wrapText="1"/>
    </xf>
    <xf numFmtId="165" fontId="28" fillId="0" borderId="63" xfId="3" applyNumberFormat="1" applyFont="1" applyBorder="1" applyAlignment="1">
      <alignment horizontal="right" shrinkToFit="1"/>
    </xf>
    <xf numFmtId="165" fontId="28" fillId="3" borderId="64" xfId="3" applyNumberFormat="1" applyFont="1" applyFill="1" applyBorder="1" applyAlignment="1" applyProtection="1">
      <alignment horizontal="right" shrinkToFit="1"/>
      <protection locked="0"/>
    </xf>
    <xf numFmtId="165" fontId="28" fillId="3" borderId="42" xfId="3" applyNumberFormat="1" applyFont="1" applyFill="1" applyBorder="1" applyAlignment="1" applyProtection="1">
      <alignment horizontal="right" shrinkToFit="1"/>
      <protection locked="0"/>
    </xf>
    <xf numFmtId="0" fontId="28" fillId="0" borderId="0" xfId="0" applyFont="1" applyFill="1" applyBorder="1"/>
    <xf numFmtId="178" fontId="4" fillId="0" borderId="35" xfId="7" applyNumberFormat="1" applyFont="1" applyBorder="1" applyAlignment="1">
      <alignment horizontal="left" wrapText="1"/>
    </xf>
    <xf numFmtId="10" fontId="4" fillId="0" borderId="61" xfId="7" applyNumberFormat="1" applyFont="1" applyBorder="1" applyAlignment="1" applyProtection="1">
      <alignment horizontal="right" shrinkToFit="1"/>
      <protection hidden="1"/>
    </xf>
    <xf numFmtId="10" fontId="4" fillId="0" borderId="11" xfId="7" applyNumberFormat="1" applyFont="1" applyBorder="1" applyAlignment="1" applyProtection="1">
      <alignment horizontal="right" shrinkToFit="1"/>
      <protection hidden="1"/>
    </xf>
    <xf numFmtId="10" fontId="4" fillId="0" borderId="22" xfId="7" applyNumberFormat="1" applyFont="1" applyBorder="1" applyAlignment="1" applyProtection="1">
      <alignment horizontal="right" shrinkToFit="1"/>
      <protection hidden="1"/>
    </xf>
    <xf numFmtId="0" fontId="20" fillId="0" borderId="57" xfId="0" applyFont="1" applyBorder="1" applyAlignment="1">
      <alignment horizontal="left" shrinkToFit="1"/>
    </xf>
    <xf numFmtId="165" fontId="20" fillId="0" borderId="54" xfId="3" applyNumberFormat="1" applyFont="1" applyBorder="1" applyAlignment="1">
      <alignment horizontal="left" shrinkToFit="1"/>
    </xf>
    <xf numFmtId="165" fontId="20" fillId="3" borderId="65" xfId="3" applyNumberFormat="1" applyFont="1" applyFill="1" applyBorder="1" applyAlignment="1" applyProtection="1">
      <alignment horizontal="left" shrinkToFit="1"/>
      <protection locked="0"/>
    </xf>
    <xf numFmtId="165" fontId="20" fillId="3" borderId="39" xfId="3" applyNumberFormat="1" applyFont="1" applyFill="1" applyBorder="1" applyAlignment="1" applyProtection="1">
      <alignment horizontal="left" shrinkToFit="1"/>
      <protection locked="0"/>
    </xf>
    <xf numFmtId="165" fontId="20" fillId="3" borderId="14" xfId="3" applyNumberFormat="1" applyFont="1" applyFill="1" applyBorder="1" applyAlignment="1" applyProtection="1">
      <alignment horizontal="left" shrinkToFit="1"/>
      <protection locked="0"/>
    </xf>
    <xf numFmtId="165" fontId="20" fillId="0" borderId="59" xfId="3" applyNumberFormat="1" applyFont="1" applyBorder="1" applyAlignment="1">
      <alignment horizontal="left" shrinkToFit="1"/>
    </xf>
    <xf numFmtId="165" fontId="20" fillId="0" borderId="61" xfId="0" applyNumberFormat="1" applyFont="1" applyBorder="1" applyAlignment="1">
      <alignment horizontal="left" shrinkToFit="1"/>
    </xf>
    <xf numFmtId="165" fontId="20" fillId="0" borderId="11" xfId="0" applyNumberFormat="1" applyFont="1" applyBorder="1" applyAlignment="1">
      <alignment horizontal="left" shrinkToFit="1"/>
    </xf>
    <xf numFmtId="165" fontId="20" fillId="0" borderId="22" xfId="0" applyNumberFormat="1" applyFont="1" applyBorder="1" applyAlignment="1">
      <alignment horizontal="left" shrinkToFit="1"/>
    </xf>
    <xf numFmtId="165" fontId="20" fillId="0" borderId="57" xfId="0" applyNumberFormat="1" applyFont="1" applyBorder="1" applyAlignment="1">
      <alignment horizontal="left" shrinkToFit="1"/>
    </xf>
    <xf numFmtId="165" fontId="20" fillId="0" borderId="0" xfId="0" applyNumberFormat="1" applyFont="1" applyAlignment="1">
      <alignment horizontal="left" shrinkToFit="1"/>
    </xf>
    <xf numFmtId="165" fontId="20" fillId="0" borderId="13" xfId="0" applyNumberFormat="1" applyFont="1" applyBorder="1" applyAlignment="1">
      <alignment horizontal="left" shrinkToFit="1"/>
    </xf>
    <xf numFmtId="176" fontId="20" fillId="0" borderId="54" xfId="3" applyNumberFormat="1" applyFont="1" applyBorder="1" applyAlignment="1">
      <alignment horizontal="left" shrinkToFit="1"/>
    </xf>
    <xf numFmtId="176" fontId="4" fillId="0" borderId="15" xfId="3" applyNumberFormat="1" applyFont="1" applyBorder="1" applyAlignment="1">
      <alignment horizontal="left" shrinkToFit="1"/>
    </xf>
    <xf numFmtId="176" fontId="4" fillId="0" borderId="29" xfId="3" applyNumberFormat="1" applyFont="1" applyBorder="1" applyAlignment="1">
      <alignment horizontal="left" shrinkToFit="1"/>
    </xf>
    <xf numFmtId="0" fontId="20" fillId="0" borderId="33" xfId="0" applyFont="1" applyBorder="1" applyAlignment="1">
      <alignment horizontal="left"/>
    </xf>
    <xf numFmtId="165" fontId="20" fillId="0" borderId="54" xfId="0" applyNumberFormat="1" applyFont="1" applyBorder="1" applyAlignment="1">
      <alignment horizontal="left" shrinkToFit="1"/>
    </xf>
    <xf numFmtId="165" fontId="4" fillId="0" borderId="15" xfId="0" applyNumberFormat="1" applyFont="1" applyBorder="1" applyAlignment="1">
      <alignment horizontal="left" shrinkToFit="1"/>
    </xf>
    <xf numFmtId="165" fontId="4" fillId="0" borderId="29" xfId="0" applyNumberFormat="1" applyFont="1" applyBorder="1" applyAlignment="1">
      <alignment horizontal="left" shrinkToFit="1"/>
    </xf>
    <xf numFmtId="10" fontId="20" fillId="5" borderId="33" xfId="7" applyNumberFormat="1" applyFont="1" applyFill="1" applyBorder="1" applyAlignment="1">
      <alignment horizontal="left" wrapText="1"/>
    </xf>
    <xf numFmtId="10" fontId="20" fillId="5" borderId="54" xfId="7" applyNumberFormat="1" applyFont="1" applyFill="1" applyBorder="1" applyAlignment="1">
      <alignment horizontal="center" shrinkToFit="1"/>
    </xf>
    <xf numFmtId="165" fontId="4" fillId="0" borderId="54" xfId="3" applyNumberFormat="1" applyFont="1" applyBorder="1" applyAlignment="1">
      <alignment horizontal="left" shrinkToFit="1"/>
    </xf>
    <xf numFmtId="165" fontId="4" fillId="0" borderId="15" xfId="3" applyNumberFormat="1" applyFont="1" applyBorder="1" applyAlignment="1">
      <alignment horizontal="left" shrinkToFit="1"/>
    </xf>
    <xf numFmtId="165" fontId="4" fillId="0" borderId="29" xfId="3" applyNumberFormat="1" applyFont="1" applyBorder="1" applyAlignment="1">
      <alignment horizontal="left" shrinkToFit="1"/>
    </xf>
    <xf numFmtId="9" fontId="4" fillId="0" borderId="54" xfId="7" applyFont="1" applyBorder="1" applyAlignment="1">
      <alignment horizontal="right" shrinkToFit="1"/>
    </xf>
    <xf numFmtId="165" fontId="4" fillId="0" borderId="59" xfId="3" applyNumberFormat="1" applyFont="1" applyBorder="1" applyAlignment="1">
      <alignment horizontal="left" shrinkToFit="1"/>
    </xf>
    <xf numFmtId="165" fontId="4" fillId="0" borderId="60" xfId="3" applyNumberFormat="1" applyFont="1" applyBorder="1" applyAlignment="1">
      <alignment horizontal="left" shrinkToFit="1"/>
    </xf>
    <xf numFmtId="165" fontId="4" fillId="0" borderId="31" xfId="3" applyNumberFormat="1" applyFont="1" applyBorder="1" applyAlignment="1">
      <alignment horizontal="left" shrinkToFit="1"/>
    </xf>
    <xf numFmtId="165" fontId="20" fillId="0" borderId="35" xfId="3" applyNumberFormat="1" applyFont="1" applyBorder="1" applyAlignment="1">
      <alignment horizontal="left"/>
    </xf>
    <xf numFmtId="165" fontId="20" fillId="0" borderId="61" xfId="3" applyNumberFormat="1" applyFont="1" applyBorder="1" applyAlignment="1">
      <alignment horizontal="left" shrinkToFit="1"/>
    </xf>
    <xf numFmtId="165" fontId="20" fillId="3" borderId="11" xfId="3" applyNumberFormat="1" applyFont="1" applyFill="1" applyBorder="1" applyAlignment="1" applyProtection="1">
      <alignment horizontal="left" shrinkToFit="1"/>
      <protection locked="0"/>
    </xf>
    <xf numFmtId="165" fontId="20" fillId="3" borderId="22" xfId="3" applyNumberFormat="1" applyFont="1" applyFill="1" applyBorder="1" applyAlignment="1" applyProtection="1">
      <alignment horizontal="left" shrinkToFit="1"/>
      <protection locked="0"/>
    </xf>
    <xf numFmtId="165" fontId="20" fillId="0" borderId="0" xfId="3" applyNumberFormat="1" applyFont="1" applyFill="1" applyBorder="1"/>
    <xf numFmtId="179" fontId="4" fillId="0" borderId="54" xfId="3" applyNumberFormat="1" applyFont="1" applyBorder="1" applyAlignment="1">
      <alignment horizontal="left" shrinkToFit="1"/>
    </xf>
    <xf numFmtId="165" fontId="20" fillId="0" borderId="33" xfId="3" applyNumberFormat="1" applyFont="1" applyBorder="1" applyAlignment="1">
      <alignment horizontal="left"/>
    </xf>
    <xf numFmtId="165" fontId="20" fillId="0" borderId="63" xfId="3" applyNumberFormat="1" applyFont="1" applyBorder="1" applyAlignment="1">
      <alignment horizontal="left" shrinkToFit="1"/>
    </xf>
    <xf numFmtId="165" fontId="20" fillId="0" borderId="15" xfId="3" applyNumberFormat="1" applyFont="1" applyBorder="1" applyAlignment="1">
      <alignment horizontal="left" shrinkToFit="1"/>
    </xf>
    <xf numFmtId="165" fontId="20" fillId="0" borderId="29" xfId="3" applyNumberFormat="1" applyFont="1" applyBorder="1" applyAlignment="1">
      <alignment horizontal="left" shrinkToFit="1"/>
    </xf>
    <xf numFmtId="0" fontId="28" fillId="0" borderId="0" xfId="0" applyFont="1" applyAlignment="1" applyProtection="1">
      <alignment horizontal="right"/>
    </xf>
    <xf numFmtId="165" fontId="20" fillId="2" borderId="29" xfId="3" applyNumberFormat="1" applyFont="1" applyFill="1" applyBorder="1" applyAlignment="1" applyProtection="1">
      <alignment horizontal="right"/>
      <protection locked="0"/>
    </xf>
    <xf numFmtId="0" fontId="4" fillId="0" borderId="0" xfId="0" applyFont="1" applyBorder="1" applyAlignment="1" applyProtection="1">
      <alignment horizontal="right"/>
    </xf>
    <xf numFmtId="43" fontId="4" fillId="0" borderId="0" xfId="0" applyNumberFormat="1" applyFont="1" applyBorder="1" applyAlignment="1" applyProtection="1">
      <alignment horizontal="right"/>
    </xf>
    <xf numFmtId="165" fontId="4" fillId="0" borderId="0" xfId="3" applyNumberFormat="1" applyFont="1" applyBorder="1" applyAlignment="1" applyProtection="1">
      <alignment horizontal="right"/>
    </xf>
    <xf numFmtId="165" fontId="4" fillId="0" borderId="0" xfId="3" applyNumberFormat="1" applyFont="1" applyAlignment="1" applyProtection="1">
      <alignment horizontal="right"/>
    </xf>
    <xf numFmtId="0" fontId="4" fillId="0" borderId="0" xfId="0" applyFont="1" applyAlignment="1" applyProtection="1">
      <alignment horizontal="right"/>
    </xf>
    <xf numFmtId="0" fontId="65" fillId="0" borderId="0" xfId="0" applyFont="1" applyAlignment="1" applyProtection="1">
      <alignment horizontal="center" wrapText="1"/>
    </xf>
    <xf numFmtId="9" fontId="65" fillId="0" borderId="0" xfId="0" applyNumberFormat="1" applyFont="1" applyAlignment="1" applyProtection="1">
      <alignment horizontal="center" wrapText="1"/>
    </xf>
    <xf numFmtId="9" fontId="65" fillId="0" borderId="0" xfId="0" applyNumberFormat="1" applyFont="1" applyAlignment="1" applyProtection="1">
      <alignment horizontal="center"/>
    </xf>
    <xf numFmtId="0" fontId="4" fillId="0" borderId="0" xfId="0" applyFont="1" applyAlignment="1" applyProtection="1">
      <alignment horizontal="center"/>
    </xf>
    <xf numFmtId="0" fontId="65" fillId="0" borderId="29" xfId="0" applyFont="1" applyBorder="1" applyAlignment="1" applyProtection="1">
      <alignment horizontal="center" wrapText="1"/>
    </xf>
    <xf numFmtId="0" fontId="4" fillId="0" borderId="29" xfId="0" applyFont="1" applyBorder="1" applyAlignment="1" applyProtection="1">
      <alignment horizontal="center" wrapText="1"/>
    </xf>
    <xf numFmtId="44" fontId="20" fillId="9" borderId="22" xfId="4" applyFont="1" applyFill="1" applyBorder="1" applyAlignment="1" applyProtection="1">
      <alignment horizontal="left"/>
      <protection locked="0"/>
    </xf>
    <xf numFmtId="181" fontId="20" fillId="9" borderId="22" xfId="4" applyNumberFormat="1" applyFont="1" applyFill="1" applyBorder="1" applyAlignment="1" applyProtection="1">
      <alignment horizontal="right"/>
      <protection locked="0"/>
    </xf>
    <xf numFmtId="44" fontId="20" fillId="9" borderId="29" xfId="4" applyFont="1" applyFill="1" applyBorder="1" applyAlignment="1" applyProtection="1">
      <alignment horizontal="left"/>
      <protection locked="0"/>
    </xf>
    <xf numFmtId="181" fontId="20" fillId="9" borderId="29" xfId="4" applyNumberFormat="1" applyFont="1" applyFill="1" applyBorder="1" applyAlignment="1" applyProtection="1">
      <alignment horizontal="right"/>
      <protection locked="0"/>
    </xf>
    <xf numFmtId="44" fontId="20" fillId="2" borderId="29" xfId="4" applyFont="1" applyFill="1" applyBorder="1" applyAlignment="1" applyProtection="1">
      <alignment horizontal="left"/>
      <protection locked="0"/>
    </xf>
    <xf numFmtId="181" fontId="20" fillId="2" borderId="29" xfId="4" applyNumberFormat="1" applyFont="1" applyFill="1" applyBorder="1" applyAlignment="1" applyProtection="1">
      <alignment horizontal="right"/>
      <protection locked="0"/>
    </xf>
    <xf numFmtId="1" fontId="27" fillId="10" borderId="29" xfId="0" applyNumberFormat="1" applyFont="1" applyFill="1" applyBorder="1" applyAlignment="1" applyProtection="1">
      <alignment horizontal="center"/>
    </xf>
    <xf numFmtId="0" fontId="20" fillId="0" borderId="0" xfId="0" applyFont="1" applyAlignment="1" applyProtection="1">
      <alignment horizontal="right"/>
    </xf>
    <xf numFmtId="0" fontId="20" fillId="0" borderId="0" xfId="0" applyFont="1" applyProtection="1"/>
    <xf numFmtId="0" fontId="65" fillId="0" borderId="0" xfId="0" applyFont="1" applyAlignment="1" applyProtection="1">
      <alignment horizontal="right" wrapText="1"/>
    </xf>
    <xf numFmtId="0" fontId="80" fillId="0" borderId="0" xfId="0" applyFont="1"/>
    <xf numFmtId="0" fontId="80" fillId="0" borderId="0" xfId="0" applyFont="1" applyAlignment="1">
      <alignment horizontal="center"/>
    </xf>
    <xf numFmtId="183" fontId="0" fillId="0" borderId="0" xfId="0" applyNumberFormat="1"/>
    <xf numFmtId="9" fontId="3" fillId="0" borderId="0" xfId="7" applyFont="1"/>
    <xf numFmtId="0" fontId="79" fillId="0" borderId="0" xfId="0" applyFont="1"/>
    <xf numFmtId="183" fontId="0" fillId="0" borderId="45" xfId="0" applyNumberFormat="1" applyBorder="1"/>
    <xf numFmtId="9" fontId="0" fillId="0" borderId="45" xfId="0" applyNumberFormat="1" applyBorder="1"/>
    <xf numFmtId="183" fontId="80" fillId="0" borderId="0" xfId="0" applyNumberFormat="1" applyFont="1" applyAlignment="1">
      <alignment horizontal="center"/>
    </xf>
    <xf numFmtId="0" fontId="80" fillId="0" borderId="0" xfId="0" applyFont="1" applyAlignment="1">
      <alignment wrapText="1"/>
    </xf>
    <xf numFmtId="44" fontId="0" fillId="0" borderId="0" xfId="0" applyNumberFormat="1"/>
    <xf numFmtId="183" fontId="0" fillId="0" borderId="14" xfId="0" applyNumberFormat="1" applyBorder="1"/>
    <xf numFmtId="178" fontId="3" fillId="0" borderId="0" xfId="7" applyNumberFormat="1" applyFont="1"/>
    <xf numFmtId="183" fontId="3" fillId="0" borderId="14" xfId="4" applyNumberFormat="1" applyFont="1" applyBorder="1"/>
    <xf numFmtId="0" fontId="81" fillId="0" borderId="0" xfId="0" applyFont="1"/>
    <xf numFmtId="0" fontId="82" fillId="0" borderId="0" xfId="0" applyFont="1" applyAlignment="1">
      <alignment horizontal="right"/>
    </xf>
    <xf numFmtId="183" fontId="82" fillId="0" borderId="0" xfId="0" applyNumberFormat="1" applyFont="1"/>
    <xf numFmtId="0" fontId="82" fillId="0" borderId="0" xfId="0" applyFont="1" applyAlignment="1">
      <alignment horizontal="right" wrapText="1"/>
    </xf>
    <xf numFmtId="3" fontId="81" fillId="0" borderId="0" xfId="3" applyNumberFormat="1" applyFont="1" applyAlignment="1">
      <alignment horizontal="center" readingOrder="1"/>
    </xf>
    <xf numFmtId="183" fontId="3" fillId="0" borderId="0" xfId="4" applyNumberFormat="1" applyFont="1" applyFill="1"/>
    <xf numFmtId="0" fontId="0" fillId="0" borderId="0" xfId="0" applyFill="1"/>
    <xf numFmtId="0" fontId="83" fillId="0" borderId="0" xfId="0" applyFont="1"/>
    <xf numFmtId="0" fontId="0" fillId="0" borderId="0" xfId="0" applyAlignment="1">
      <alignment wrapText="1"/>
    </xf>
    <xf numFmtId="0" fontId="83" fillId="0" borderId="0" xfId="0" applyFont="1" applyAlignment="1">
      <alignment horizontal="center" wrapText="1"/>
    </xf>
    <xf numFmtId="9" fontId="0" fillId="0" borderId="0" xfId="0" applyNumberFormat="1" applyAlignment="1">
      <alignment horizontal="center"/>
    </xf>
    <xf numFmtId="9" fontId="0" fillId="0" borderId="0" xfId="0" applyNumberFormat="1" applyAlignment="1">
      <alignment horizontal="center" wrapText="1"/>
    </xf>
    <xf numFmtId="9" fontId="3" fillId="0" borderId="0" xfId="7" applyFont="1" applyAlignment="1">
      <alignment horizontal="center"/>
    </xf>
    <xf numFmtId="9" fontId="84" fillId="0" borderId="0" xfId="7" applyFont="1" applyAlignment="1">
      <alignment horizontal="center"/>
    </xf>
    <xf numFmtId="183" fontId="0" fillId="0" borderId="0" xfId="4" applyNumberFormat="1" applyFont="1"/>
    <xf numFmtId="0" fontId="4" fillId="0" borderId="0" xfId="0" applyFont="1" applyAlignment="1">
      <alignment wrapText="1"/>
    </xf>
    <xf numFmtId="183" fontId="20" fillId="0" borderId="45" xfId="0" applyNumberFormat="1" applyFont="1" applyBorder="1"/>
    <xf numFmtId="183" fontId="20" fillId="0" borderId="0" xfId="0" applyNumberFormat="1" applyFont="1"/>
    <xf numFmtId="0" fontId="20" fillId="13" borderId="0" xfId="0" applyFont="1" applyFill="1"/>
    <xf numFmtId="0" fontId="0" fillId="13" borderId="0" xfId="0" applyFill="1"/>
    <xf numFmtId="0" fontId="85" fillId="0" borderId="0" xfId="0" applyFont="1"/>
    <xf numFmtId="0" fontId="86" fillId="0" borderId="0" xfId="0" applyFont="1"/>
    <xf numFmtId="0" fontId="87" fillId="0" borderId="0" xfId="0" applyFont="1"/>
    <xf numFmtId="44" fontId="0" fillId="0" borderId="0" xfId="4" applyFont="1" applyBorder="1"/>
    <xf numFmtId="0" fontId="87" fillId="0" borderId="16" xfId="0" applyFont="1" applyBorder="1"/>
    <xf numFmtId="0" fontId="0" fillId="0" borderId="16" xfId="0" applyBorder="1"/>
    <xf numFmtId="44" fontId="0" fillId="0" borderId="16" xfId="4" applyFont="1" applyBorder="1"/>
    <xf numFmtId="0" fontId="88" fillId="0" borderId="0" xfId="0" applyFont="1"/>
    <xf numFmtId="0" fontId="20" fillId="0" borderId="45" xfId="0" applyFont="1" applyBorder="1"/>
    <xf numFmtId="0" fontId="0" fillId="0" borderId="45" xfId="0" applyBorder="1"/>
    <xf numFmtId="183" fontId="4" fillId="0" borderId="45" xfId="4" applyNumberFormat="1" applyFont="1" applyBorder="1"/>
    <xf numFmtId="183" fontId="0" fillId="0" borderId="0" xfId="4" applyNumberFormat="1" applyFont="1" applyBorder="1"/>
    <xf numFmtId="183" fontId="0" fillId="0" borderId="16" xfId="4" applyNumberFormat="1" applyFont="1" applyBorder="1"/>
    <xf numFmtId="0" fontId="84" fillId="0" borderId="0" xfId="0" applyFont="1" applyFill="1"/>
    <xf numFmtId="183" fontId="20" fillId="0" borderId="0" xfId="0" applyNumberFormat="1" applyFont="1" applyBorder="1"/>
    <xf numFmtId="0" fontId="4" fillId="0" borderId="0" xfId="0" applyFont="1" applyBorder="1" applyAlignment="1">
      <alignment horizontal="left"/>
    </xf>
    <xf numFmtId="0" fontId="89" fillId="0" borderId="0" xfId="0" applyFont="1" applyAlignment="1">
      <alignment horizontal="left" indent="1"/>
    </xf>
    <xf numFmtId="0" fontId="86" fillId="0" borderId="0" xfId="0" applyFont="1" applyAlignment="1"/>
    <xf numFmtId="0" fontId="85" fillId="0" borderId="0" xfId="0" applyFont="1" applyAlignment="1"/>
    <xf numFmtId="0" fontId="89" fillId="0" borderId="0" xfId="0" applyFont="1" applyAlignment="1"/>
    <xf numFmtId="0" fontId="87" fillId="0" borderId="0" xfId="0" applyFont="1" applyAlignment="1"/>
    <xf numFmtId="0" fontId="85" fillId="0" borderId="0" xfId="0" applyFont="1" applyAlignment="1">
      <alignment horizontal="center"/>
    </xf>
    <xf numFmtId="183" fontId="86" fillId="0" borderId="0" xfId="4" applyNumberFormat="1" applyFont="1" applyAlignment="1"/>
    <xf numFmtId="183" fontId="86" fillId="0" borderId="0" xfId="4" applyNumberFormat="1" applyFont="1"/>
    <xf numFmtId="0" fontId="87" fillId="0" borderId="45" xfId="0" applyFont="1" applyBorder="1" applyAlignment="1"/>
    <xf numFmtId="183" fontId="87" fillId="0" borderId="45" xfId="4" applyNumberFormat="1" applyFont="1" applyBorder="1" applyAlignment="1"/>
    <xf numFmtId="44" fontId="0" fillId="0" borderId="0" xfId="4" applyNumberFormat="1" applyFont="1"/>
    <xf numFmtId="183" fontId="82" fillId="0" borderId="0" xfId="4" applyNumberFormat="1" applyFont="1"/>
    <xf numFmtId="9" fontId="90" fillId="0" borderId="0" xfId="0" applyNumberFormat="1" applyFont="1" applyBorder="1"/>
    <xf numFmtId="0" fontId="4" fillId="0" borderId="0" xfId="0" applyFont="1" applyAlignment="1">
      <alignment horizontal="left" indent="1"/>
    </xf>
    <xf numFmtId="183" fontId="0" fillId="11" borderId="0" xfId="4" applyNumberFormat="1" applyFont="1" applyFill="1"/>
    <xf numFmtId="0" fontId="77" fillId="0" borderId="0" xfId="0" applyFont="1" applyFill="1" applyBorder="1" applyAlignment="1">
      <alignment horizontal="left" indent="1"/>
    </xf>
    <xf numFmtId="183" fontId="61" fillId="0" borderId="0" xfId="4" applyNumberFormat="1" applyFont="1"/>
    <xf numFmtId="0" fontId="4" fillId="0" borderId="0" xfId="0" applyFont="1" applyBorder="1" applyAlignment="1">
      <alignment horizontal="left" indent="1"/>
    </xf>
    <xf numFmtId="183" fontId="0" fillId="0" borderId="0" xfId="4" applyNumberFormat="1" applyFont="1" applyFill="1"/>
    <xf numFmtId="0" fontId="20" fillId="0" borderId="45" xfId="0" applyFont="1" applyBorder="1" applyAlignment="1">
      <alignment horizontal="right"/>
    </xf>
    <xf numFmtId="183" fontId="20" fillId="0" borderId="45" xfId="4" applyNumberFormat="1" applyFont="1" applyBorder="1"/>
    <xf numFmtId="0" fontId="10" fillId="0" borderId="18" xfId="0" applyFont="1" applyFill="1" applyBorder="1" applyAlignment="1">
      <alignment horizontal="right"/>
    </xf>
    <xf numFmtId="0" fontId="9" fillId="2" borderId="3" xfId="0" applyFont="1" applyFill="1" applyBorder="1" applyAlignment="1" applyProtection="1">
      <alignment horizontal="right" wrapText="1"/>
      <protection locked="0"/>
    </xf>
    <xf numFmtId="0" fontId="4" fillId="2" borderId="33"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6" fillId="0" borderId="0" xfId="0" applyFont="1" applyAlignment="1" applyProtection="1">
      <alignment horizontal="left" shrinkToFit="1"/>
      <protection hidden="1"/>
    </xf>
    <xf numFmtId="0" fontId="10" fillId="0" borderId="6" xfId="0" applyFont="1" applyBorder="1" applyAlignment="1" applyProtection="1">
      <alignment horizontal="left" wrapText="1"/>
      <protection hidden="1"/>
    </xf>
    <xf numFmtId="0" fontId="66" fillId="0" borderId="0" xfId="0" applyFont="1" applyAlignment="1">
      <alignment horizontal="center"/>
    </xf>
    <xf numFmtId="0" fontId="20" fillId="0" borderId="69" xfId="0" applyFont="1" applyBorder="1" applyAlignment="1">
      <alignment horizontal="right"/>
    </xf>
    <xf numFmtId="0" fontId="10" fillId="0" borderId="0" xfId="0" applyFont="1" applyFill="1" applyAlignment="1" applyProtection="1">
      <alignment horizontal="left"/>
      <protection hidden="1"/>
    </xf>
    <xf numFmtId="0" fontId="10" fillId="0" borderId="0" xfId="0" applyFont="1" applyFill="1" applyAlignment="1" applyProtection="1">
      <alignment horizontal="right"/>
      <protection hidden="1"/>
    </xf>
    <xf numFmtId="0" fontId="6" fillId="0" borderId="9" xfId="0" applyFont="1" applyFill="1" applyBorder="1" applyAlignment="1" applyProtection="1">
      <alignment horizontal="right"/>
      <protection hidden="1"/>
    </xf>
    <xf numFmtId="0" fontId="6" fillId="0" borderId="0" xfId="0" applyFont="1" applyFill="1" applyAlignment="1" applyProtection="1">
      <alignment horizontal="right" shrinkToFit="1"/>
      <protection hidden="1"/>
    </xf>
    <xf numFmtId="0" fontId="6" fillId="3" borderId="0" xfId="0" applyFont="1" applyFill="1" applyAlignment="1" applyProtection="1">
      <alignment horizontal="right" shrinkToFit="1"/>
      <protection locked="0"/>
    </xf>
    <xf numFmtId="165" fontId="6" fillId="0" borderId="0" xfId="3" applyNumberFormat="1" applyFont="1" applyFill="1" applyAlignment="1" applyProtection="1">
      <alignment horizontal="right"/>
      <protection hidden="1"/>
    </xf>
    <xf numFmtId="0" fontId="6" fillId="0" borderId="6" xfId="0" applyFont="1" applyFill="1" applyBorder="1" applyAlignment="1" applyProtection="1">
      <alignment horizontal="right"/>
      <protection hidden="1"/>
    </xf>
    <xf numFmtId="43" fontId="6" fillId="0" borderId="0" xfId="3" applyFont="1" applyFill="1" applyAlignment="1" applyProtection="1">
      <alignment horizontal="right"/>
      <protection hidden="1"/>
    </xf>
    <xf numFmtId="0" fontId="6" fillId="0" borderId="0" xfId="0" applyFont="1" applyFill="1" applyAlignment="1" applyProtection="1">
      <alignment horizontal="right"/>
      <protection hidden="1"/>
    </xf>
    <xf numFmtId="0" fontId="6" fillId="0" borderId="0" xfId="0" applyFont="1" applyFill="1" applyAlignment="1" applyProtection="1">
      <alignment horizontal="center"/>
      <protection hidden="1"/>
    </xf>
    <xf numFmtId="1" fontId="6" fillId="0" borderId="0" xfId="3" applyNumberFormat="1" applyFont="1" applyFill="1" applyAlignment="1" applyProtection="1">
      <alignment horizontal="right"/>
      <protection hidden="1"/>
    </xf>
    <xf numFmtId="0" fontId="6" fillId="0" borderId="0" xfId="0" applyFont="1" applyFill="1" applyAlignment="1" applyProtection="1">
      <alignment horizontal="right" wrapText="1"/>
      <protection hidden="1"/>
    </xf>
    <xf numFmtId="0" fontId="6" fillId="0" borderId="0" xfId="0" applyFont="1" applyFill="1" applyAlignment="1" applyProtection="1">
      <alignment horizontal="left"/>
      <protection hidden="1"/>
    </xf>
    <xf numFmtId="169" fontId="6" fillId="0" borderId="0" xfId="0" applyNumberFormat="1" applyFont="1" applyFill="1" applyAlignment="1" applyProtection="1">
      <alignment horizontal="right"/>
      <protection hidden="1"/>
    </xf>
    <xf numFmtId="0" fontId="28" fillId="0" borderId="0" xfId="0" applyFont="1" applyAlignment="1" applyProtection="1">
      <alignment horizontal="center"/>
    </xf>
    <xf numFmtId="0" fontId="2" fillId="0" borderId="0" xfId="13"/>
    <xf numFmtId="0" fontId="92" fillId="0" borderId="0" xfId="13" applyFont="1" applyAlignment="1">
      <alignment horizontal="left"/>
    </xf>
    <xf numFmtId="0" fontId="84" fillId="0" borderId="34" xfId="13" applyFont="1" applyBorder="1"/>
    <xf numFmtId="0" fontId="84" fillId="0" borderId="12" xfId="13" applyFont="1" applyBorder="1"/>
    <xf numFmtId="0" fontId="84" fillId="0" borderId="32" xfId="13" applyFont="1" applyBorder="1"/>
    <xf numFmtId="0" fontId="2" fillId="0" borderId="35" xfId="13" applyBorder="1"/>
    <xf numFmtId="0" fontId="2" fillId="0" borderId="6" xfId="13" applyBorder="1"/>
    <xf numFmtId="165" fontId="0" fillId="0" borderId="6" xfId="14" applyNumberFormat="1" applyFont="1" applyBorder="1"/>
    <xf numFmtId="0" fontId="2" fillId="0" borderId="29" xfId="13" applyBorder="1"/>
    <xf numFmtId="0" fontId="2" fillId="0" borderId="33" xfId="13" applyBorder="1" applyAlignment="1">
      <alignment horizontal="center"/>
    </xf>
    <xf numFmtId="0" fontId="2" fillId="0" borderId="14" xfId="13" applyBorder="1"/>
    <xf numFmtId="165" fontId="0" fillId="10" borderId="29" xfId="14" applyNumberFormat="1" applyFont="1" applyFill="1" applyBorder="1" applyProtection="1">
      <protection locked="0"/>
    </xf>
    <xf numFmtId="0" fontId="95" fillId="0" borderId="0" xfId="13" applyFont="1"/>
    <xf numFmtId="0" fontId="79" fillId="0" borderId="14" xfId="13" applyFont="1" applyBorder="1"/>
    <xf numFmtId="165" fontId="79" fillId="10" borderId="29" xfId="14" applyNumberFormat="1" applyFont="1" applyFill="1" applyBorder="1" applyProtection="1">
      <protection locked="0"/>
    </xf>
    <xf numFmtId="0" fontId="2" fillId="10" borderId="29" xfId="13" applyFill="1" applyBorder="1" applyAlignment="1" applyProtection="1">
      <alignment horizontal="right"/>
      <protection locked="0"/>
    </xf>
    <xf numFmtId="0" fontId="2" fillId="0" borderId="33" xfId="13" applyBorder="1"/>
    <xf numFmtId="165" fontId="0" fillId="0" borderId="29" xfId="14" applyNumberFormat="1" applyFont="1" applyBorder="1"/>
    <xf numFmtId="43" fontId="0" fillId="0" borderId="29" xfId="14" applyFont="1" applyFill="1" applyBorder="1"/>
    <xf numFmtId="0" fontId="2" fillId="0" borderId="29" xfId="13" applyBorder="1" applyAlignment="1">
      <alignment horizontal="center"/>
    </xf>
    <xf numFmtId="0" fontId="2" fillId="0" borderId="29" xfId="13" applyBorder="1" applyAlignment="1">
      <alignment horizontal="center" wrapText="1"/>
    </xf>
    <xf numFmtId="165" fontId="0" fillId="0" borderId="29" xfId="14" applyNumberFormat="1" applyFont="1" applyBorder="1" applyAlignment="1">
      <alignment horizontal="center" wrapText="1"/>
    </xf>
    <xf numFmtId="0" fontId="2" fillId="0" borderId="0" xfId="13" applyAlignment="1">
      <alignment horizontal="center" wrapText="1"/>
    </xf>
    <xf numFmtId="0" fontId="2" fillId="10" borderId="29" xfId="13" applyFill="1" applyBorder="1" applyAlignment="1" applyProtection="1">
      <alignment horizontal="center"/>
      <protection locked="0"/>
    </xf>
    <xf numFmtId="165" fontId="0" fillId="0" borderId="33" xfId="14" applyNumberFormat="1" applyFont="1" applyFill="1" applyBorder="1"/>
    <xf numFmtId="165" fontId="2" fillId="0" borderId="0" xfId="13" applyNumberFormat="1"/>
    <xf numFmtId="165" fontId="2" fillId="10" borderId="29" xfId="14" applyNumberFormat="1" applyFont="1" applyFill="1" applyBorder="1" applyProtection="1">
      <protection locked="0"/>
    </xf>
    <xf numFmtId="0" fontId="2" fillId="0" borderId="30" xfId="13" applyBorder="1"/>
    <xf numFmtId="165" fontId="2" fillId="0" borderId="21" xfId="13" applyNumberFormat="1" applyBorder="1" applyAlignment="1">
      <alignment horizontal="center"/>
    </xf>
    <xf numFmtId="165" fontId="79" fillId="0" borderId="29" xfId="14" applyNumberFormat="1" applyFont="1" applyBorder="1"/>
    <xf numFmtId="0" fontId="2" fillId="0" borderId="29" xfId="13" applyBorder="1" applyAlignment="1">
      <alignment wrapText="1"/>
    </xf>
    <xf numFmtId="165" fontId="79" fillId="0" borderId="21" xfId="14" applyNumberFormat="1" applyFont="1" applyBorder="1" applyAlignment="1">
      <alignment horizontal="center"/>
    </xf>
    <xf numFmtId="185" fontId="2" fillId="0" borderId="29" xfId="13" applyNumberFormat="1" applyBorder="1" applyAlignment="1">
      <alignment horizontal="center"/>
    </xf>
    <xf numFmtId="165" fontId="79" fillId="0" borderId="29" xfId="14" applyNumberFormat="1" applyFont="1" applyBorder="1" applyAlignment="1">
      <alignment horizontal="center"/>
    </xf>
    <xf numFmtId="165" fontId="0" fillId="0" borderId="0" xfId="14" applyNumberFormat="1" applyFont="1" applyBorder="1"/>
    <xf numFmtId="165" fontId="0" fillId="0" borderId="0" xfId="14" applyNumberFormat="1" applyFont="1"/>
    <xf numFmtId="0" fontId="1" fillId="0" borderId="0" xfId="15"/>
    <xf numFmtId="0" fontId="92" fillId="0" borderId="0" xfId="15" applyFont="1" applyAlignment="1">
      <alignment horizontal="left"/>
    </xf>
    <xf numFmtId="0" fontId="84" fillId="0" borderId="34" xfId="15" applyFont="1" applyBorder="1"/>
    <xf numFmtId="0" fontId="84" fillId="0" borderId="12" xfId="15" applyFont="1" applyBorder="1"/>
    <xf numFmtId="0" fontId="84" fillId="0" borderId="32" xfId="15" applyFont="1" applyBorder="1"/>
    <xf numFmtId="0" fontId="1" fillId="0" borderId="35" xfId="15" applyBorder="1"/>
    <xf numFmtId="0" fontId="1" fillId="0" borderId="6" xfId="15" applyBorder="1"/>
    <xf numFmtId="0" fontId="100" fillId="0" borderId="0" xfId="15" applyFont="1"/>
    <xf numFmtId="165" fontId="0" fillId="0" borderId="0" xfId="16" applyNumberFormat="1" applyFont="1"/>
    <xf numFmtId="0" fontId="1" fillId="0" borderId="29" xfId="15" applyBorder="1"/>
    <xf numFmtId="0" fontId="1" fillId="0" borderId="33" xfId="15" applyBorder="1" applyAlignment="1">
      <alignment horizontal="center"/>
    </xf>
    <xf numFmtId="0" fontId="1" fillId="0" borderId="14" xfId="15" applyBorder="1"/>
    <xf numFmtId="165" fontId="0" fillId="10" borderId="29" xfId="16" applyNumberFormat="1" applyFont="1" applyFill="1" applyBorder="1" applyProtection="1">
      <protection locked="0"/>
    </xf>
    <xf numFmtId="0" fontId="95" fillId="0" borderId="0" xfId="15" applyFont="1"/>
    <xf numFmtId="165" fontId="0" fillId="0" borderId="29" xfId="16" applyNumberFormat="1" applyFont="1" applyBorder="1"/>
    <xf numFmtId="0" fontId="79" fillId="0" borderId="14" xfId="15" applyFont="1" applyBorder="1"/>
    <xf numFmtId="165" fontId="79" fillId="10" borderId="29" xfId="16" applyNumberFormat="1" applyFont="1" applyFill="1" applyBorder="1" applyProtection="1">
      <protection locked="0"/>
    </xf>
    <xf numFmtId="0" fontId="1" fillId="10" borderId="29" xfId="15" applyFill="1" applyBorder="1" applyAlignment="1" applyProtection="1">
      <alignment horizontal="right"/>
      <protection locked="0"/>
    </xf>
    <xf numFmtId="43" fontId="0" fillId="0" borderId="29" xfId="16" applyFont="1" applyFill="1" applyBorder="1"/>
    <xf numFmtId="171" fontId="0" fillId="0" borderId="29" xfId="17" applyNumberFormat="1" applyFont="1" applyBorder="1"/>
    <xf numFmtId="165" fontId="1" fillId="0" borderId="0" xfId="15" applyNumberFormat="1"/>
    <xf numFmtId="0" fontId="1" fillId="0" borderId="33" xfId="15" applyBorder="1"/>
    <xf numFmtId="0" fontId="1" fillId="0" borderId="29" xfId="15" applyBorder="1" applyAlignment="1">
      <alignment horizontal="center"/>
    </xf>
    <xf numFmtId="0" fontId="1" fillId="0" borderId="29" xfId="15" applyBorder="1" applyAlignment="1">
      <alignment horizontal="center" wrapText="1"/>
    </xf>
    <xf numFmtId="165" fontId="0" fillId="0" borderId="29" xfId="16" applyNumberFormat="1" applyFont="1" applyBorder="1" applyAlignment="1">
      <alignment horizontal="center" wrapText="1"/>
    </xf>
    <xf numFmtId="0" fontId="1" fillId="0" borderId="33" xfId="15" applyBorder="1" applyAlignment="1">
      <alignment horizontal="center" wrapText="1"/>
    </xf>
    <xf numFmtId="185" fontId="1" fillId="0" borderId="29" xfId="15" applyNumberFormat="1" applyBorder="1" applyAlignment="1">
      <alignment horizontal="center"/>
    </xf>
    <xf numFmtId="185" fontId="1" fillId="0" borderId="29" xfId="15" applyNumberFormat="1" applyBorder="1" applyAlignment="1">
      <alignment horizontal="left"/>
    </xf>
    <xf numFmtId="186" fontId="1" fillId="0" borderId="29" xfId="15" applyNumberFormat="1" applyBorder="1" applyAlignment="1">
      <alignment horizontal="center"/>
    </xf>
    <xf numFmtId="165" fontId="0" fillId="0" borderId="29" xfId="16" applyNumberFormat="1" applyFont="1" applyBorder="1" applyAlignment="1">
      <alignment horizontal="right"/>
    </xf>
    <xf numFmtId="2" fontId="1" fillId="0" borderId="0" xfId="15" applyNumberFormat="1"/>
    <xf numFmtId="165" fontId="0" fillId="0" borderId="29" xfId="16" applyNumberFormat="1" applyFont="1" applyBorder="1" applyAlignment="1">
      <alignment horizontal="center"/>
    </xf>
    <xf numFmtId="165" fontId="0" fillId="0" borderId="21" xfId="16" applyNumberFormat="1" applyFont="1" applyBorder="1" applyAlignment="1">
      <alignment horizontal="center"/>
    </xf>
    <xf numFmtId="165" fontId="79" fillId="0" borderId="29" xfId="16" applyNumberFormat="1" applyFont="1" applyBorder="1"/>
    <xf numFmtId="185" fontId="1" fillId="11" borderId="29" xfId="15" applyNumberFormat="1" applyFill="1" applyBorder="1" applyAlignment="1">
      <alignment horizontal="center"/>
    </xf>
    <xf numFmtId="165" fontId="79" fillId="0" borderId="21" xfId="16" applyNumberFormat="1" applyFont="1" applyBorder="1" applyAlignment="1">
      <alignment horizontal="center"/>
    </xf>
    <xf numFmtId="0" fontId="1" fillId="14" borderId="0" xfId="15" applyFill="1"/>
    <xf numFmtId="0" fontId="1" fillId="14" borderId="6" xfId="15" applyFill="1" applyBorder="1"/>
    <xf numFmtId="0" fontId="1" fillId="0" borderId="0" xfId="15" applyAlignment="1">
      <alignment horizontal="right"/>
    </xf>
    <xf numFmtId="0" fontId="1" fillId="14" borderId="12" xfId="15" applyFill="1" applyBorder="1"/>
    <xf numFmtId="2" fontId="53" fillId="0" borderId="14" xfId="11" quotePrefix="1" applyNumberFormat="1" applyFont="1" applyBorder="1" applyAlignment="1">
      <alignment horizontal="center"/>
    </xf>
    <xf numFmtId="2" fontId="53" fillId="0" borderId="15" xfId="11" quotePrefix="1" applyNumberFormat="1" applyFont="1" applyBorder="1" applyAlignment="1">
      <alignment horizontal="center"/>
    </xf>
    <xf numFmtId="0" fontId="53" fillId="0" borderId="0" xfId="11" applyFont="1" applyFill="1" applyBorder="1" applyAlignment="1">
      <alignment horizontal="center" wrapText="1"/>
    </xf>
    <xf numFmtId="0" fontId="53" fillId="0" borderId="6" xfId="11" applyFont="1" applyFill="1" applyBorder="1" applyAlignment="1">
      <alignment horizontal="center" wrapText="1"/>
    </xf>
    <xf numFmtId="0" fontId="53" fillId="0" borderId="0" xfId="11" applyFont="1" applyBorder="1" applyAlignment="1">
      <alignment horizontal="center" wrapText="1"/>
    </xf>
    <xf numFmtId="0" fontId="4" fillId="0" borderId="0" xfId="11" applyBorder="1" applyAlignment="1">
      <alignment horizontal="center" wrapText="1"/>
    </xf>
    <xf numFmtId="9" fontId="53" fillId="0" borderId="35" xfId="11" applyNumberFormat="1" applyFont="1" applyFill="1" applyBorder="1" applyAlignment="1">
      <alignment horizontal="center"/>
    </xf>
    <xf numFmtId="9" fontId="53" fillId="0" borderId="6" xfId="11" applyNumberFormat="1" applyFont="1" applyFill="1" applyBorder="1" applyAlignment="1">
      <alignment horizontal="center"/>
    </xf>
    <xf numFmtId="9" fontId="53" fillId="0" borderId="11" xfId="11" applyNumberFormat="1" applyFont="1" applyFill="1" applyBorder="1" applyAlignment="1">
      <alignment horizontal="center"/>
    </xf>
    <xf numFmtId="8" fontId="53" fillId="0" borderId="33" xfId="11" applyNumberFormat="1" applyFont="1" applyFill="1" applyBorder="1" applyAlignment="1">
      <alignment horizontal="center"/>
    </xf>
    <xf numFmtId="8" fontId="53" fillId="0" borderId="14" xfId="11" applyNumberFormat="1" applyFont="1" applyFill="1" applyBorder="1" applyAlignment="1">
      <alignment horizontal="center"/>
    </xf>
    <xf numFmtId="8" fontId="53" fillId="0" borderId="15" xfId="11" applyNumberFormat="1" applyFont="1" applyFill="1" applyBorder="1" applyAlignment="1">
      <alignment horizontal="center"/>
    </xf>
    <xf numFmtId="0" fontId="5" fillId="0" borderId="23" xfId="0" applyFont="1" applyFill="1" applyBorder="1" applyAlignment="1" applyProtection="1">
      <alignment horizontal="left"/>
    </xf>
    <xf numFmtId="0" fontId="5" fillId="0" borderId="24" xfId="0" applyFont="1" applyFill="1" applyBorder="1" applyAlignment="1" applyProtection="1">
      <alignment horizontal="left"/>
    </xf>
    <xf numFmtId="0" fontId="5" fillId="0" borderId="47" xfId="0" applyFont="1" applyFill="1" applyBorder="1" applyAlignment="1" applyProtection="1">
      <alignment horizontal="left"/>
    </xf>
    <xf numFmtId="0" fontId="6" fillId="0" borderId="2" xfId="0" applyFont="1" applyFill="1" applyBorder="1" applyAlignment="1" applyProtection="1">
      <alignment horizontal="left" shrinkToFit="1"/>
    </xf>
    <xf numFmtId="0" fontId="10" fillId="0" borderId="18" xfId="0" applyFont="1" applyFill="1" applyBorder="1" applyAlignment="1">
      <alignment horizontal="right"/>
    </xf>
    <xf numFmtId="0" fontId="7" fillId="0" borderId="23" xfId="0" applyFont="1" applyFill="1" applyBorder="1" applyAlignment="1" applyProtection="1">
      <alignment horizontal="center"/>
    </xf>
    <xf numFmtId="0" fontId="7" fillId="0" borderId="24" xfId="0" applyFont="1" applyFill="1" applyBorder="1" applyAlignment="1" applyProtection="1">
      <alignment horizontal="center"/>
    </xf>
    <xf numFmtId="0" fontId="7" fillId="0" borderId="47" xfId="0" applyFont="1" applyFill="1" applyBorder="1" applyAlignment="1" applyProtection="1">
      <alignment horizontal="center"/>
    </xf>
    <xf numFmtId="10" fontId="11" fillId="2" borderId="0" xfId="7" applyNumberFormat="1" applyFont="1" applyFill="1" applyBorder="1" applyAlignment="1" applyProtection="1">
      <alignment horizontal="right" wrapText="1"/>
      <protection locked="0"/>
    </xf>
    <xf numFmtId="10" fontId="11" fillId="2" borderId="3" xfId="7" applyNumberFormat="1" applyFont="1" applyFill="1" applyBorder="1" applyAlignment="1" applyProtection="1">
      <alignment horizontal="right" wrapText="1"/>
      <protection locked="0"/>
    </xf>
    <xf numFmtId="0" fontId="11" fillId="2" borderId="0" xfId="0" applyFont="1" applyFill="1" applyBorder="1" applyAlignment="1" applyProtection="1">
      <alignment horizontal="right" wrapText="1"/>
      <protection locked="0"/>
    </xf>
    <xf numFmtId="0" fontId="11" fillId="2" borderId="3" xfId="0" applyFont="1" applyFill="1" applyBorder="1" applyAlignment="1" applyProtection="1">
      <alignment horizontal="right" wrapText="1"/>
      <protection locked="0"/>
    </xf>
    <xf numFmtId="0" fontId="11" fillId="2" borderId="12" xfId="0" applyFont="1" applyFill="1" applyBorder="1" applyAlignment="1" applyProtection="1">
      <alignment horizontal="right"/>
      <protection locked="0"/>
    </xf>
    <xf numFmtId="0" fontId="11" fillId="2" borderId="77" xfId="0" applyFont="1" applyFill="1" applyBorder="1" applyAlignment="1" applyProtection="1">
      <alignment horizontal="right"/>
      <protection locked="0"/>
    </xf>
    <xf numFmtId="0" fontId="9" fillId="2" borderId="0" xfId="0" applyFont="1" applyFill="1" applyBorder="1" applyAlignment="1" applyProtection="1">
      <alignment horizontal="right" wrapText="1"/>
      <protection locked="0"/>
    </xf>
    <xf numFmtId="0" fontId="9" fillId="2" borderId="3" xfId="0" applyFont="1" applyFill="1" applyBorder="1" applyAlignment="1" applyProtection="1">
      <alignment horizontal="right" wrapText="1"/>
      <protection locked="0"/>
    </xf>
    <xf numFmtId="165" fontId="6" fillId="2" borderId="9" xfId="3" applyNumberFormat="1" applyFont="1" applyFill="1" applyBorder="1" applyAlignment="1" applyProtection="1">
      <alignment horizontal="center"/>
      <protection locked="0"/>
    </xf>
    <xf numFmtId="0" fontId="6" fillId="0" borderId="0" xfId="0" applyFont="1" applyFill="1" applyBorder="1" applyAlignment="1" applyProtection="1">
      <alignment horizontal="left" shrinkToFit="1"/>
    </xf>
    <xf numFmtId="165" fontId="6" fillId="2" borderId="0" xfId="3" applyNumberFormat="1" applyFont="1" applyFill="1" applyBorder="1" applyAlignment="1" applyProtection="1">
      <alignment horizontal="center"/>
      <protection locked="0"/>
    </xf>
    <xf numFmtId="0" fontId="10" fillId="0" borderId="14" xfId="0" applyFont="1" applyFill="1" applyBorder="1" applyAlignment="1" applyProtection="1">
      <alignment horizontal="left" shrinkToFit="1"/>
    </xf>
    <xf numFmtId="0" fontId="10" fillId="0" borderId="16" xfId="0" applyFont="1" applyFill="1" applyBorder="1" applyAlignment="1" applyProtection="1">
      <alignment horizontal="left" shrinkToFit="1"/>
    </xf>
    <xf numFmtId="0" fontId="10" fillId="0" borderId="18" xfId="0" applyFont="1" applyFill="1" applyBorder="1" applyAlignment="1" applyProtection="1">
      <alignment horizontal="left" shrinkToFit="1"/>
    </xf>
    <xf numFmtId="165" fontId="4" fillId="0" borderId="9" xfId="3" applyNumberFormat="1" applyFont="1" applyFill="1" applyBorder="1" applyAlignment="1" applyProtection="1">
      <alignment horizontal="center"/>
    </xf>
    <xf numFmtId="10" fontId="28" fillId="0" borderId="14" xfId="7" applyNumberFormat="1" applyFont="1" applyFill="1" applyBorder="1" applyAlignment="1" applyProtection="1">
      <alignment horizontal="right"/>
      <protection hidden="1"/>
    </xf>
    <xf numFmtId="10" fontId="28" fillId="0" borderId="15" xfId="7" applyNumberFormat="1" applyFont="1" applyFill="1" applyBorder="1" applyAlignment="1" applyProtection="1">
      <alignment horizontal="right"/>
      <protection hidden="1"/>
    </xf>
    <xf numFmtId="165" fontId="28" fillId="0" borderId="6" xfId="0" applyNumberFormat="1" applyFont="1" applyFill="1" applyBorder="1" applyAlignment="1" applyProtection="1">
      <alignment horizontal="right"/>
      <protection hidden="1"/>
    </xf>
    <xf numFmtId="165" fontId="28" fillId="0" borderId="11" xfId="0" applyNumberFormat="1" applyFont="1" applyFill="1" applyBorder="1" applyAlignment="1" applyProtection="1">
      <alignment horizontal="right"/>
      <protection hidden="1"/>
    </xf>
    <xf numFmtId="0" fontId="4" fillId="2" borderId="29" xfId="0" applyFont="1" applyFill="1" applyBorder="1" applyAlignment="1" applyProtection="1">
      <alignment horizontal="left"/>
      <protection locked="0"/>
    </xf>
    <xf numFmtId="0" fontId="20" fillId="0" borderId="33" xfId="0" applyFont="1" applyFill="1" applyBorder="1" applyAlignment="1" applyProtection="1">
      <alignment horizontal="left" shrinkToFit="1"/>
      <protection hidden="1"/>
    </xf>
    <xf numFmtId="0" fontId="20" fillId="0" borderId="15" xfId="0" applyFont="1" applyFill="1" applyBorder="1" applyAlignment="1" applyProtection="1">
      <alignment horizontal="left" shrinkToFit="1"/>
      <protection hidden="1"/>
    </xf>
    <xf numFmtId="165" fontId="28" fillId="0" borderId="12" xfId="3" applyNumberFormat="1" applyFont="1" applyFill="1" applyBorder="1" applyAlignment="1" applyProtection="1">
      <alignment horizontal="right"/>
      <protection hidden="1"/>
    </xf>
    <xf numFmtId="165" fontId="28" fillId="0" borderId="56" xfId="3" applyNumberFormat="1" applyFont="1" applyFill="1" applyBorder="1" applyAlignment="1" applyProtection="1">
      <alignment horizontal="right"/>
      <protection hidden="1"/>
    </xf>
    <xf numFmtId="0" fontId="4" fillId="2" borderId="32" xfId="0" applyFont="1" applyFill="1" applyBorder="1" applyAlignment="1" applyProtection="1">
      <alignment horizontal="left"/>
      <protection locked="0"/>
    </xf>
    <xf numFmtId="0" fontId="4" fillId="2" borderId="13" xfId="0" applyFont="1" applyFill="1" applyBorder="1" applyAlignment="1" applyProtection="1">
      <alignment horizontal="left"/>
      <protection locked="0"/>
    </xf>
    <xf numFmtId="0" fontId="20" fillId="0" borderId="33" xfId="0" applyFont="1" applyFill="1" applyBorder="1" applyAlignment="1" applyProtection="1">
      <alignment horizontal="left" wrapText="1"/>
    </xf>
    <xf numFmtId="0" fontId="20" fillId="0" borderId="15" xfId="0" applyFont="1" applyFill="1" applyBorder="1" applyAlignment="1" applyProtection="1">
      <alignment horizontal="left" wrapText="1"/>
    </xf>
    <xf numFmtId="0" fontId="4" fillId="2" borderId="33"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4" fillId="0" borderId="0" xfId="0" applyFont="1" applyFill="1" applyBorder="1" applyAlignment="1" applyProtection="1">
      <alignment horizontal="left" shrinkToFit="1"/>
    </xf>
    <xf numFmtId="0" fontId="36" fillId="0" borderId="25" xfId="0" applyFont="1" applyFill="1" applyBorder="1" applyAlignment="1" applyProtection="1">
      <alignment horizontal="center"/>
    </xf>
    <xf numFmtId="0" fontId="36" fillId="0" borderId="24" xfId="0" applyFont="1" applyFill="1" applyBorder="1" applyAlignment="1" applyProtection="1">
      <alignment horizontal="center"/>
    </xf>
    <xf numFmtId="0" fontId="36" fillId="0" borderId="28" xfId="0" applyFont="1" applyFill="1" applyBorder="1" applyAlignment="1" applyProtection="1">
      <alignment horizontal="center"/>
    </xf>
    <xf numFmtId="0" fontId="55" fillId="0" borderId="0" xfId="0" applyFont="1" applyBorder="1" applyAlignment="1">
      <alignment horizontal="center"/>
    </xf>
    <xf numFmtId="0" fontId="6" fillId="2" borderId="0" xfId="0" applyFont="1" applyFill="1" applyBorder="1" applyAlignment="1" applyProtection="1">
      <alignment horizontal="left"/>
      <protection locked="0"/>
    </xf>
    <xf numFmtId="0" fontId="7" fillId="0" borderId="0" xfId="0" applyFont="1" applyAlignment="1" applyProtection="1">
      <alignment horizontal="left" shrinkToFit="1"/>
      <protection hidden="1"/>
    </xf>
    <xf numFmtId="0" fontId="55" fillId="0" borderId="2" xfId="0" applyFont="1" applyBorder="1" applyAlignment="1" applyProtection="1">
      <alignment horizontal="center"/>
      <protection hidden="1"/>
    </xf>
    <xf numFmtId="0" fontId="55" fillId="0" borderId="2" xfId="0" applyFont="1" applyBorder="1" applyAlignment="1">
      <alignment horizontal="center"/>
    </xf>
    <xf numFmtId="0" fontId="7" fillId="0" borderId="14" xfId="0" applyFont="1" applyBorder="1" applyAlignment="1">
      <alignment horizontal="right" shrinkToFit="1"/>
    </xf>
    <xf numFmtId="171" fontId="14" fillId="0" borderId="29" xfId="7" applyNumberFormat="1" applyFont="1" applyBorder="1" applyAlignment="1">
      <alignment horizontal="center" wrapText="1"/>
    </xf>
    <xf numFmtId="0" fontId="7" fillId="0" borderId="0" xfId="0" applyFont="1" applyBorder="1" applyAlignment="1">
      <alignment horizontal="left" shrinkToFit="1"/>
    </xf>
    <xf numFmtId="0" fontId="6" fillId="2" borderId="0" xfId="0" applyFont="1" applyFill="1" applyAlignment="1" applyProtection="1">
      <alignment horizontal="left" vertical="top" wrapText="1"/>
      <protection locked="0"/>
    </xf>
    <xf numFmtId="0" fontId="6" fillId="0" borderId="0" xfId="0" applyFont="1" applyAlignment="1" applyProtection="1">
      <alignment horizontal="left" shrinkToFit="1"/>
      <protection hidden="1"/>
    </xf>
    <xf numFmtId="0" fontId="6" fillId="0" borderId="45" xfId="0" applyFont="1" applyBorder="1" applyAlignment="1" applyProtection="1">
      <alignment horizontal="left" shrinkToFit="1"/>
      <protection hidden="1"/>
    </xf>
    <xf numFmtId="0" fontId="6" fillId="0" borderId="0" xfId="0" applyFont="1" applyBorder="1" applyAlignment="1" applyProtection="1">
      <alignment horizontal="left" shrinkToFit="1"/>
      <protection hidden="1"/>
    </xf>
    <xf numFmtId="0" fontId="10" fillId="0" borderId="0" xfId="0" applyFont="1" applyBorder="1" applyAlignment="1" applyProtection="1">
      <alignment horizontal="left" shrinkToFit="1"/>
      <protection hidden="1"/>
    </xf>
    <xf numFmtId="165" fontId="56" fillId="0" borderId="0" xfId="0" applyNumberFormat="1" applyFont="1" applyFill="1" applyAlignment="1" applyProtection="1">
      <alignment horizontal="left"/>
      <protection hidden="1"/>
    </xf>
    <xf numFmtId="0" fontId="10" fillId="0" borderId="6" xfId="0" applyFont="1" applyBorder="1" applyAlignment="1" applyProtection="1">
      <alignment horizontal="left" wrapText="1"/>
      <protection hidden="1"/>
    </xf>
    <xf numFmtId="10" fontId="20" fillId="0" borderId="6" xfId="7" applyNumberFormat="1" applyFont="1" applyBorder="1" applyAlignment="1">
      <alignment horizontal="center" shrinkToFit="1"/>
    </xf>
    <xf numFmtId="165" fontId="33" fillId="0" borderId="0" xfId="3" applyNumberFormat="1" applyFont="1" applyAlignment="1" applyProtection="1">
      <alignment horizontal="left"/>
      <protection hidden="1"/>
    </xf>
    <xf numFmtId="165" fontId="20" fillId="0" borderId="0" xfId="3" applyNumberFormat="1" applyFont="1" applyAlignment="1" applyProtection="1">
      <alignment horizontal="center"/>
      <protection hidden="1"/>
    </xf>
    <xf numFmtId="0" fontId="0" fillId="2" borderId="0" xfId="0" applyFill="1" applyAlignment="1" applyProtection="1">
      <alignment horizontal="left" vertical="top" wrapText="1"/>
      <protection locked="0"/>
    </xf>
    <xf numFmtId="165" fontId="0" fillId="0" borderId="0" xfId="3" applyNumberFormat="1" applyFont="1" applyBorder="1" applyAlignment="1">
      <alignment horizontal="center"/>
    </xf>
    <xf numFmtId="165" fontId="0" fillId="0" borderId="13" xfId="3" applyNumberFormat="1" applyFont="1" applyBorder="1" applyAlignment="1">
      <alignment horizontal="center"/>
    </xf>
    <xf numFmtId="165" fontId="0" fillId="2" borderId="18" xfId="3" applyNumberFormat="1" applyFont="1" applyFill="1" applyBorder="1" applyAlignment="1" applyProtection="1">
      <alignment horizontal="left" vertical="top" wrapText="1"/>
      <protection locked="0"/>
    </xf>
    <xf numFmtId="165" fontId="0" fillId="2" borderId="0" xfId="3" applyNumberFormat="1" applyFont="1" applyFill="1" applyBorder="1" applyAlignment="1" applyProtection="1">
      <alignment horizontal="left" vertical="top" wrapText="1"/>
      <protection locked="0"/>
    </xf>
    <xf numFmtId="0" fontId="10" fillId="0" borderId="18"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9" fontId="0" fillId="0" borderId="3" xfId="7" applyFont="1" applyBorder="1" applyAlignment="1">
      <alignment horizontal="right"/>
    </xf>
    <xf numFmtId="0" fontId="20" fillId="0" borderId="19" xfId="0" applyFont="1" applyBorder="1" applyAlignment="1">
      <alignment horizontal="center" wrapText="1"/>
    </xf>
    <xf numFmtId="0" fontId="20" fillId="0" borderId="4" xfId="0" applyFont="1" applyBorder="1" applyAlignment="1">
      <alignment horizontal="center" wrapText="1"/>
    </xf>
    <xf numFmtId="165" fontId="20" fillId="0" borderId="2" xfId="3" applyNumberFormat="1" applyFont="1" applyBorder="1" applyAlignment="1">
      <alignment horizontal="center"/>
    </xf>
    <xf numFmtId="165" fontId="20" fillId="0" borderId="67" xfId="3" applyNumberFormat="1" applyFont="1" applyBorder="1" applyAlignment="1">
      <alignment horizontal="center"/>
    </xf>
    <xf numFmtId="0" fontId="20" fillId="0" borderId="17" xfId="0" applyFont="1" applyBorder="1" applyAlignment="1">
      <alignment horizontal="center"/>
    </xf>
    <xf numFmtId="0" fontId="20" fillId="0" borderId="18" xfId="0" applyFont="1" applyBorder="1" applyAlignment="1">
      <alignment horizontal="center"/>
    </xf>
    <xf numFmtId="0" fontId="20" fillId="0" borderId="72" xfId="0" applyFont="1" applyBorder="1" applyAlignment="1">
      <alignment horizontal="center"/>
    </xf>
    <xf numFmtId="0" fontId="28" fillId="0" borderId="18" xfId="0" applyFont="1" applyBorder="1" applyAlignment="1">
      <alignment horizontal="center"/>
    </xf>
    <xf numFmtId="0" fontId="28" fillId="0" borderId="19" xfId="0" applyFont="1" applyBorder="1" applyAlignment="1">
      <alignment horizontal="center"/>
    </xf>
    <xf numFmtId="0" fontId="66" fillId="0" borderId="0" xfId="0" applyFont="1" applyAlignment="1">
      <alignment horizontal="center"/>
    </xf>
    <xf numFmtId="0" fontId="20" fillId="0" borderId="6" xfId="0" applyFont="1" applyBorder="1" applyAlignment="1">
      <alignment horizontal="center"/>
    </xf>
    <xf numFmtId="0" fontId="20" fillId="0" borderId="11" xfId="0" applyFont="1" applyBorder="1" applyAlignment="1">
      <alignment horizontal="center"/>
    </xf>
    <xf numFmtId="0" fontId="20" fillId="0" borderId="35" xfId="0" applyFont="1" applyBorder="1" applyAlignment="1">
      <alignment horizontal="center"/>
    </xf>
    <xf numFmtId="0" fontId="20" fillId="0" borderId="4" xfId="0" applyFont="1" applyBorder="1" applyAlignment="1">
      <alignment horizontal="center"/>
    </xf>
    <xf numFmtId="0" fontId="20" fillId="0" borderId="69" xfId="0" applyFont="1" applyBorder="1" applyAlignment="1">
      <alignment horizontal="right"/>
    </xf>
    <xf numFmtId="0" fontId="20" fillId="0" borderId="78" xfId="0" applyFont="1" applyBorder="1" applyAlignment="1">
      <alignment horizontal="right"/>
    </xf>
    <xf numFmtId="165" fontId="0" fillId="0" borderId="9" xfId="3" applyNumberFormat="1" applyFont="1" applyBorder="1" applyAlignment="1">
      <alignment horizontal="center"/>
    </xf>
    <xf numFmtId="165" fontId="0" fillId="0" borderId="70" xfId="3" applyNumberFormat="1" applyFont="1" applyBorder="1" applyAlignment="1">
      <alignment horizontal="center"/>
    </xf>
    <xf numFmtId="0" fontId="20" fillId="0" borderId="50" xfId="0" applyFont="1" applyBorder="1" applyAlignment="1">
      <alignment horizontal="right"/>
    </xf>
    <xf numFmtId="0" fontId="28" fillId="0" borderId="23" xfId="0" applyFont="1" applyBorder="1" applyAlignment="1">
      <alignment horizontal="center"/>
    </xf>
    <xf numFmtId="0" fontId="28" fillId="0" borderId="24" xfId="0" applyFont="1" applyBorder="1" applyAlignment="1">
      <alignment horizontal="center"/>
    </xf>
    <xf numFmtId="0" fontId="28" fillId="0" borderId="47" xfId="0" applyFont="1" applyBorder="1" applyAlignment="1">
      <alignment horizontal="center"/>
    </xf>
    <xf numFmtId="9" fontId="0" fillId="0" borderId="10" xfId="7" applyFont="1" applyBorder="1" applyAlignment="1">
      <alignment horizontal="right"/>
    </xf>
    <xf numFmtId="9" fontId="20" fillId="0" borderId="2" xfId="7" applyFont="1" applyBorder="1" applyAlignment="1">
      <alignment horizontal="right"/>
    </xf>
    <xf numFmtId="9" fontId="20" fillId="0" borderId="7" xfId="7" applyFont="1" applyBorder="1" applyAlignment="1">
      <alignment horizontal="right"/>
    </xf>
    <xf numFmtId="0" fontId="10" fillId="0" borderId="0" xfId="0" applyFont="1" applyAlignment="1">
      <alignment horizontal="right" wrapText="1"/>
    </xf>
    <xf numFmtId="0" fontId="4" fillId="0" borderId="0" xfId="0" applyFont="1" applyAlignment="1">
      <alignment horizontal="left"/>
    </xf>
    <xf numFmtId="165" fontId="10" fillId="0" borderId="0" xfId="3" applyNumberFormat="1" applyFont="1" applyFill="1" applyAlignment="1" applyProtection="1">
      <alignment horizontal="right"/>
      <protection hidden="1"/>
    </xf>
    <xf numFmtId="165" fontId="7" fillId="0" borderId="0" xfId="3" applyNumberFormat="1" applyFont="1" applyFill="1" applyAlignment="1" applyProtection="1">
      <alignment horizontal="right"/>
      <protection hidden="1"/>
    </xf>
    <xf numFmtId="0" fontId="10" fillId="0" borderId="0" xfId="0" applyFont="1" applyFill="1" applyAlignment="1" applyProtection="1">
      <alignment horizontal="left"/>
      <protection hidden="1"/>
    </xf>
    <xf numFmtId="165" fontId="10" fillId="0" borderId="0" xfId="3" applyNumberFormat="1" applyFont="1" applyFill="1" applyBorder="1" applyAlignment="1" applyProtection="1">
      <alignment horizontal="right"/>
      <protection hidden="1"/>
    </xf>
    <xf numFmtId="0" fontId="10" fillId="0" borderId="0" xfId="0" applyFont="1" applyFill="1" applyAlignment="1" applyProtection="1">
      <alignment horizontal="right"/>
      <protection hidden="1"/>
    </xf>
    <xf numFmtId="165" fontId="6" fillId="0" borderId="9" xfId="3" applyNumberFormat="1" applyFont="1" applyFill="1" applyBorder="1" applyAlignment="1" applyProtection="1">
      <alignment horizontal="center"/>
      <protection hidden="1"/>
    </xf>
    <xf numFmtId="177" fontId="6" fillId="0" borderId="9" xfId="0" applyNumberFormat="1" applyFont="1" applyFill="1" applyBorder="1" applyAlignment="1" applyProtection="1">
      <alignment horizontal="left"/>
      <protection hidden="1"/>
    </xf>
    <xf numFmtId="0" fontId="6" fillId="0" borderId="9" xfId="0" applyFont="1" applyFill="1" applyBorder="1" applyAlignment="1" applyProtection="1">
      <alignment horizontal="right"/>
      <protection hidden="1"/>
    </xf>
    <xf numFmtId="165" fontId="6" fillId="0" borderId="0" xfId="3" applyNumberFormat="1" applyFont="1" applyFill="1" applyAlignment="1" applyProtection="1">
      <alignment horizontal="center" shrinkToFit="1"/>
      <protection hidden="1"/>
    </xf>
    <xf numFmtId="165" fontId="6" fillId="0" borderId="0" xfId="3" applyNumberFormat="1" applyFont="1" applyFill="1" applyAlignment="1" applyProtection="1">
      <alignment horizontal="right" shrinkToFit="1"/>
      <protection hidden="1"/>
    </xf>
    <xf numFmtId="0" fontId="6" fillId="0" borderId="0" xfId="0" applyFont="1" applyFill="1" applyAlignment="1" applyProtection="1">
      <alignment horizontal="right" shrinkToFit="1"/>
      <protection hidden="1"/>
    </xf>
    <xf numFmtId="0" fontId="6" fillId="3" borderId="0" xfId="0" applyFont="1" applyFill="1" applyAlignment="1" applyProtection="1">
      <alignment horizontal="right" shrinkToFit="1"/>
      <protection locked="0"/>
    </xf>
    <xf numFmtId="165" fontId="6" fillId="0" borderId="0" xfId="3"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right" wrapText="1"/>
      <protection hidden="1"/>
    </xf>
    <xf numFmtId="0" fontId="6" fillId="0" borderId="6" xfId="0" applyFont="1" applyFill="1" applyBorder="1" applyAlignment="1" applyProtection="1">
      <alignment horizontal="right" wrapText="1"/>
      <protection hidden="1"/>
    </xf>
    <xf numFmtId="165" fontId="6" fillId="0" borderId="0" xfId="3" applyNumberFormat="1" applyFont="1" applyFill="1" applyBorder="1" applyAlignment="1" applyProtection="1">
      <alignment horizontal="center"/>
      <protection hidden="1"/>
    </xf>
    <xf numFmtId="165" fontId="6" fillId="0" borderId="0" xfId="3" applyNumberFormat="1" applyFont="1" applyFill="1" applyAlignment="1" applyProtection="1">
      <alignment horizontal="center"/>
      <protection hidden="1"/>
    </xf>
    <xf numFmtId="165" fontId="6" fillId="0" borderId="12" xfId="3"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wrapText="1"/>
      <protection hidden="1"/>
    </xf>
    <xf numFmtId="0" fontId="6" fillId="0" borderId="6" xfId="0" applyFont="1" applyFill="1" applyBorder="1" applyAlignment="1" applyProtection="1">
      <alignment horizontal="center" wrapText="1"/>
      <protection hidden="1"/>
    </xf>
    <xf numFmtId="165" fontId="6" fillId="0" borderId="0" xfId="3" applyNumberFormat="1" applyFont="1" applyFill="1" applyAlignment="1" applyProtection="1">
      <alignment horizontal="right"/>
      <protection hidden="1"/>
    </xf>
    <xf numFmtId="165" fontId="6" fillId="0" borderId="12" xfId="3" applyNumberFormat="1" applyFont="1" applyFill="1" applyBorder="1" applyAlignment="1" applyProtection="1">
      <alignment horizontal="right"/>
      <protection hidden="1"/>
    </xf>
    <xf numFmtId="43" fontId="6" fillId="0" borderId="0" xfId="3" applyNumberFormat="1" applyFont="1" applyFill="1" applyAlignment="1" applyProtection="1">
      <alignment horizontal="right"/>
      <protection hidden="1"/>
    </xf>
    <xf numFmtId="0" fontId="10" fillId="0" borderId="6" xfId="0" applyFont="1" applyFill="1" applyBorder="1" applyAlignment="1" applyProtection="1">
      <alignment horizontal="right"/>
      <protection hidden="1"/>
    </xf>
    <xf numFmtId="165" fontId="6" fillId="0" borderId="12" xfId="3" applyNumberFormat="1" applyFont="1" applyFill="1" applyBorder="1" applyAlignment="1" applyProtection="1">
      <alignment horizontal="center"/>
      <protection hidden="1"/>
    </xf>
    <xf numFmtId="0" fontId="6" fillId="0" borderId="6" xfId="0" applyFont="1" applyFill="1" applyBorder="1" applyAlignment="1" applyProtection="1">
      <alignment horizontal="right"/>
      <protection hidden="1"/>
    </xf>
    <xf numFmtId="165" fontId="10" fillId="0" borderId="12" xfId="0" applyNumberFormat="1" applyFont="1" applyFill="1" applyBorder="1" applyAlignment="1" applyProtection="1">
      <alignment horizontal="right"/>
      <protection hidden="1"/>
    </xf>
    <xf numFmtId="165" fontId="6" fillId="0" borderId="6" xfId="3" applyNumberFormat="1" applyFont="1" applyFill="1" applyBorder="1" applyAlignment="1" applyProtection="1">
      <alignment horizontal="right"/>
      <protection hidden="1"/>
    </xf>
    <xf numFmtId="43" fontId="6" fillId="0" borderId="6" xfId="3" applyFont="1" applyFill="1" applyBorder="1" applyAlignment="1" applyProtection="1">
      <alignment horizontal="right"/>
      <protection hidden="1"/>
    </xf>
    <xf numFmtId="43" fontId="6" fillId="0" borderId="0" xfId="3" applyFont="1" applyFill="1" applyAlignment="1" applyProtection="1">
      <alignment horizontal="right"/>
      <protection hidden="1"/>
    </xf>
    <xf numFmtId="165" fontId="6" fillId="0" borderId="6" xfId="0" applyNumberFormat="1" applyFont="1" applyFill="1" applyBorder="1" applyAlignment="1" applyProtection="1">
      <alignment horizontal="right"/>
      <protection hidden="1"/>
    </xf>
    <xf numFmtId="165" fontId="6" fillId="0" borderId="0" xfId="0" applyNumberFormat="1" applyFont="1" applyFill="1" applyAlignment="1" applyProtection="1">
      <alignment horizontal="right"/>
      <protection hidden="1"/>
    </xf>
    <xf numFmtId="0" fontId="6" fillId="0" borderId="0" xfId="0" applyFont="1" applyFill="1" applyAlignment="1" applyProtection="1">
      <alignment horizontal="right"/>
      <protection hidden="1"/>
    </xf>
    <xf numFmtId="165" fontId="6" fillId="0" borderId="2" xfId="0" applyNumberFormat="1" applyFont="1" applyFill="1" applyBorder="1" applyAlignment="1" applyProtection="1">
      <alignment horizontal="right"/>
      <protection hidden="1"/>
    </xf>
    <xf numFmtId="0" fontId="6" fillId="0" borderId="2" xfId="0" applyFont="1" applyFill="1" applyBorder="1" applyAlignment="1" applyProtection="1">
      <alignment horizontal="right"/>
      <protection hidden="1"/>
    </xf>
    <xf numFmtId="165" fontId="6" fillId="0" borderId="2" xfId="3" applyNumberFormat="1" applyFont="1" applyFill="1" applyBorder="1" applyAlignment="1" applyProtection="1">
      <alignment horizontal="right"/>
      <protection hidden="1"/>
    </xf>
    <xf numFmtId="165" fontId="6" fillId="0" borderId="0" xfId="0" applyNumberFormat="1" applyFont="1" applyFill="1" applyBorder="1" applyAlignment="1" applyProtection="1">
      <alignment horizontal="right"/>
      <protection hidden="1"/>
    </xf>
    <xf numFmtId="165" fontId="10" fillId="0" borderId="12" xfId="3" applyNumberFormat="1" applyFont="1" applyFill="1" applyBorder="1" applyAlignment="1" applyProtection="1">
      <alignment horizontal="right"/>
      <protection hidden="1"/>
    </xf>
    <xf numFmtId="0" fontId="6" fillId="0" borderId="0" xfId="0" applyFont="1" applyFill="1" applyAlignment="1" applyProtection="1">
      <alignment horizontal="center"/>
      <protection hidden="1"/>
    </xf>
    <xf numFmtId="1" fontId="6" fillId="0" borderId="0" xfId="3" applyNumberFormat="1" applyFont="1" applyFill="1" applyAlignment="1" applyProtection="1">
      <alignment horizontal="right"/>
      <protection hidden="1"/>
    </xf>
    <xf numFmtId="176" fontId="6" fillId="0" borderId="0" xfId="3" applyNumberFormat="1" applyFont="1" applyFill="1" applyAlignment="1" applyProtection="1">
      <alignment horizontal="center"/>
      <protection hidden="1"/>
    </xf>
    <xf numFmtId="0" fontId="6" fillId="0" borderId="0" xfId="0" applyFont="1" applyFill="1" applyAlignment="1" applyProtection="1">
      <alignment horizontal="right" wrapText="1"/>
      <protection hidden="1"/>
    </xf>
    <xf numFmtId="177" fontId="6" fillId="0" borderId="0" xfId="0" applyNumberFormat="1" applyFont="1" applyFill="1" applyAlignment="1" applyProtection="1">
      <alignment horizontal="right"/>
      <protection hidden="1"/>
    </xf>
    <xf numFmtId="0" fontId="6" fillId="0" borderId="0" xfId="0" applyFont="1" applyFill="1" applyAlignment="1" applyProtection="1">
      <alignment horizontal="left"/>
      <protection hidden="1"/>
    </xf>
    <xf numFmtId="0" fontId="13" fillId="0" borderId="0" xfId="0" applyNumberFormat="1" applyFont="1" applyFill="1" applyBorder="1" applyAlignment="1" applyProtection="1">
      <alignment horizontal="left"/>
      <protection hidden="1"/>
    </xf>
    <xf numFmtId="0" fontId="0" fillId="0" borderId="0" xfId="0" applyFill="1" applyAlignment="1" applyProtection="1">
      <alignment horizontal="left"/>
      <protection hidden="1"/>
    </xf>
    <xf numFmtId="0" fontId="6" fillId="0" borderId="0" xfId="0" applyFont="1" applyFill="1" applyAlignment="1" applyProtection="1">
      <alignment horizontal="left" shrinkToFit="1"/>
      <protection hidden="1"/>
    </xf>
    <xf numFmtId="169" fontId="6" fillId="0" borderId="0" xfId="0" applyNumberFormat="1" applyFont="1" applyFill="1" applyAlignment="1" applyProtection="1">
      <alignment horizontal="right"/>
      <protection hidden="1"/>
    </xf>
    <xf numFmtId="168" fontId="6" fillId="0" borderId="0" xfId="0" applyNumberFormat="1" applyFont="1" applyFill="1" applyAlignment="1" applyProtection="1">
      <alignment horizontal="left"/>
      <protection hidden="1"/>
    </xf>
    <xf numFmtId="0" fontId="81" fillId="0" borderId="0" xfId="0" applyFont="1" applyAlignment="1">
      <alignment horizontal="left" vertical="top" wrapText="1"/>
    </xf>
    <xf numFmtId="0" fontId="20" fillId="0" borderId="23" xfId="0" applyFont="1" applyBorder="1" applyAlignment="1">
      <alignment horizontal="center"/>
    </xf>
    <xf numFmtId="0" fontId="20" fillId="0" borderId="24" xfId="0" applyFont="1" applyBorder="1" applyAlignment="1">
      <alignment horizontal="center"/>
    </xf>
    <xf numFmtId="0" fontId="20" fillId="0" borderId="47" xfId="0" applyFont="1" applyBorder="1" applyAlignment="1">
      <alignment horizontal="center"/>
    </xf>
    <xf numFmtId="0" fontId="20" fillId="0" borderId="19" xfId="0" applyFont="1" applyBorder="1" applyAlignment="1">
      <alignment horizontal="center"/>
    </xf>
    <xf numFmtId="0" fontId="4" fillId="0" borderId="20"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0" fontId="79" fillId="0" borderId="33" xfId="15" applyFont="1" applyBorder="1" applyAlignment="1">
      <alignment horizontal="left"/>
    </xf>
    <xf numFmtId="0" fontId="79" fillId="0" borderId="14" xfId="15" applyFont="1" applyBorder="1" applyAlignment="1">
      <alignment horizontal="left"/>
    </xf>
    <xf numFmtId="0" fontId="1" fillId="0" borderId="14" xfId="15" applyBorder="1" applyAlignment="1">
      <alignment horizontal="left"/>
    </xf>
    <xf numFmtId="0" fontId="79" fillId="0" borderId="14" xfId="15" applyFont="1" applyBorder="1" applyAlignment="1">
      <alignment horizontal="right"/>
    </xf>
    <xf numFmtId="165" fontId="0" fillId="10" borderId="33" xfId="16" applyNumberFormat="1" applyFont="1" applyFill="1" applyBorder="1" applyAlignment="1" applyProtection="1">
      <protection locked="0"/>
    </xf>
    <xf numFmtId="165" fontId="0" fillId="10" borderId="15" xfId="16" applyNumberFormat="1" applyFont="1" applyFill="1" applyBorder="1" applyAlignment="1" applyProtection="1">
      <protection locked="0"/>
    </xf>
    <xf numFmtId="165" fontId="1" fillId="0" borderId="29" xfId="15" applyNumberFormat="1" applyBorder="1"/>
    <xf numFmtId="0" fontId="1" fillId="0" borderId="33" xfId="15" applyBorder="1" applyAlignment="1">
      <alignment horizontal="center"/>
    </xf>
    <xf numFmtId="0" fontId="1" fillId="0" borderId="14" xfId="15" applyBorder="1" applyAlignment="1">
      <alignment horizontal="center"/>
    </xf>
    <xf numFmtId="165" fontId="0" fillId="0" borderId="33" xfId="16" applyNumberFormat="1" applyFont="1" applyBorder="1" applyAlignment="1">
      <alignment horizontal="center" wrapText="1"/>
    </xf>
    <xf numFmtId="165" fontId="0" fillId="0" borderId="15" xfId="16" applyNumberFormat="1" applyFont="1" applyBorder="1" applyAlignment="1">
      <alignment horizontal="center" wrapText="1"/>
    </xf>
    <xf numFmtId="0" fontId="1" fillId="0" borderId="33" xfId="15" applyBorder="1" applyAlignment="1">
      <alignment horizontal="center" wrapText="1"/>
    </xf>
    <xf numFmtId="0" fontId="1" fillId="0" borderId="15" xfId="15" applyBorder="1" applyAlignment="1">
      <alignment horizontal="center" wrapText="1"/>
    </xf>
    <xf numFmtId="0" fontId="1" fillId="0" borderId="34" xfId="15" applyBorder="1"/>
    <xf numFmtId="0" fontId="1" fillId="0" borderId="56" xfId="15" applyBorder="1"/>
    <xf numFmtId="0" fontId="1" fillId="0" borderId="32" xfId="15" applyBorder="1"/>
    <xf numFmtId="0" fontId="1" fillId="0" borderId="13" xfId="15" applyBorder="1"/>
    <xf numFmtId="0" fontId="1" fillId="0" borderId="35" xfId="15" applyBorder="1"/>
    <xf numFmtId="0" fontId="1" fillId="0" borderId="11" xfId="15" applyBorder="1"/>
    <xf numFmtId="0" fontId="1" fillId="0" borderId="21" xfId="15" applyBorder="1"/>
    <xf numFmtId="0" fontId="1" fillId="0" borderId="30" xfId="15" applyBorder="1"/>
    <xf numFmtId="0" fontId="1" fillId="0" borderId="22" xfId="15" applyBorder="1"/>
    <xf numFmtId="0" fontId="1" fillId="0" borderId="14" xfId="15" applyBorder="1" applyAlignment="1">
      <alignment horizontal="right"/>
    </xf>
    <xf numFmtId="0" fontId="82" fillId="0" borderId="33" xfId="15" applyFont="1" applyBorder="1" applyAlignment="1">
      <alignment horizontal="left"/>
    </xf>
    <xf numFmtId="0" fontId="82" fillId="0" borderId="14" xfId="15" applyFont="1" applyBorder="1" applyAlignment="1">
      <alignment horizontal="left"/>
    </xf>
    <xf numFmtId="0" fontId="91" fillId="0" borderId="0" xfId="12" applyAlignment="1"/>
    <xf numFmtId="0" fontId="94" fillId="0" borderId="0" xfId="15" applyFont="1" applyAlignment="1">
      <alignment horizontal="left"/>
    </xf>
    <xf numFmtId="165" fontId="0" fillId="0" borderId="12" xfId="16" applyNumberFormat="1" applyFont="1" applyFill="1" applyBorder="1" applyAlignment="1">
      <alignment horizontal="left"/>
    </xf>
    <xf numFmtId="165" fontId="0" fillId="0" borderId="56" xfId="16" applyNumberFormat="1" applyFont="1" applyFill="1" applyBorder="1" applyAlignment="1">
      <alignment horizontal="left"/>
    </xf>
    <xf numFmtId="165" fontId="0" fillId="0" borderId="0" xfId="16" applyNumberFormat="1" applyFont="1" applyFill="1" applyBorder="1" applyAlignment="1">
      <alignment horizontal="left"/>
    </xf>
    <xf numFmtId="165" fontId="0" fillId="0" borderId="13" xfId="16" applyNumberFormat="1" applyFont="1" applyFill="1" applyBorder="1" applyAlignment="1">
      <alignment horizontal="left"/>
    </xf>
    <xf numFmtId="14" fontId="0" fillId="0" borderId="6" xfId="16" applyNumberFormat="1" applyFont="1" applyFill="1" applyBorder="1" applyAlignment="1">
      <alignment horizontal="left"/>
    </xf>
    <xf numFmtId="14" fontId="0" fillId="0" borderId="11" xfId="16" applyNumberFormat="1" applyFont="1" applyFill="1" applyBorder="1" applyAlignment="1">
      <alignment horizontal="left"/>
    </xf>
    <xf numFmtId="0" fontId="79" fillId="0" borderId="33" xfId="13" applyFont="1" applyBorder="1" applyAlignment="1">
      <alignment horizontal="left"/>
    </xf>
    <xf numFmtId="0" fontId="79" fillId="0" borderId="14" xfId="13" applyFont="1" applyBorder="1" applyAlignment="1">
      <alignment horizontal="left"/>
    </xf>
    <xf numFmtId="0" fontId="79" fillId="0" borderId="15" xfId="13" applyFont="1" applyBorder="1" applyAlignment="1">
      <alignment horizontal="left"/>
    </xf>
    <xf numFmtId="0" fontId="94" fillId="0" borderId="0" xfId="13" applyFont="1"/>
    <xf numFmtId="165" fontId="0" fillId="0" borderId="12" xfId="14" applyNumberFormat="1" applyFont="1" applyFill="1" applyBorder="1" applyAlignment="1">
      <alignment horizontal="left"/>
    </xf>
    <xf numFmtId="165" fontId="0" fillId="0" borderId="56" xfId="14" applyNumberFormat="1" applyFont="1" applyFill="1" applyBorder="1" applyAlignment="1">
      <alignment horizontal="left"/>
    </xf>
    <xf numFmtId="165" fontId="0" fillId="0" borderId="0" xfId="14" applyNumberFormat="1" applyFont="1" applyFill="1" applyBorder="1" applyAlignment="1">
      <alignment horizontal="left"/>
    </xf>
    <xf numFmtId="165" fontId="0" fillId="0" borderId="13" xfId="14" applyNumberFormat="1" applyFont="1" applyFill="1" applyBorder="1" applyAlignment="1">
      <alignment horizontal="left"/>
    </xf>
    <xf numFmtId="14" fontId="0" fillId="0" borderId="6" xfId="14" applyNumberFormat="1" applyFont="1" applyFill="1" applyBorder="1" applyAlignment="1">
      <alignment horizontal="left"/>
    </xf>
    <xf numFmtId="14" fontId="0" fillId="0" borderId="11" xfId="14" applyNumberFormat="1" applyFont="1" applyFill="1" applyBorder="1" applyAlignment="1">
      <alignment horizontal="left"/>
    </xf>
    <xf numFmtId="0" fontId="2" fillId="0" borderId="14" xfId="13" applyBorder="1" applyAlignment="1">
      <alignment horizontal="center"/>
    </xf>
    <xf numFmtId="0" fontId="2" fillId="0" borderId="15" xfId="13" applyBorder="1" applyAlignment="1">
      <alignment horizontal="center"/>
    </xf>
    <xf numFmtId="0" fontId="2" fillId="0" borderId="14" xfId="13" applyBorder="1" applyAlignment="1">
      <alignment horizontal="left"/>
    </xf>
    <xf numFmtId="0" fontId="2" fillId="0" borderId="15" xfId="13" applyBorder="1" applyAlignment="1">
      <alignment horizontal="left"/>
    </xf>
    <xf numFmtId="0" fontId="2" fillId="0" borderId="33" xfId="13" applyBorder="1" applyAlignment="1">
      <alignment horizontal="center"/>
    </xf>
    <xf numFmtId="0" fontId="79" fillId="0" borderId="14" xfId="13" applyFont="1" applyBorder="1" applyAlignment="1">
      <alignment horizontal="right"/>
    </xf>
    <xf numFmtId="0" fontId="79" fillId="0" borderId="15" xfId="13" applyFont="1" applyBorder="1" applyAlignment="1">
      <alignment horizontal="right"/>
    </xf>
    <xf numFmtId="0" fontId="2" fillId="0" borderId="21" xfId="13" applyBorder="1"/>
    <xf numFmtId="0" fontId="2" fillId="0" borderId="30" xfId="13" applyBorder="1"/>
    <xf numFmtId="0" fontId="2" fillId="0" borderId="22" xfId="13" applyBorder="1"/>
    <xf numFmtId="0" fontId="2" fillId="10" borderId="29" xfId="13" applyFill="1" applyBorder="1" applyAlignment="1" applyProtection="1">
      <alignment horizontal="left"/>
      <protection locked="0"/>
    </xf>
    <xf numFmtId="0" fontId="2" fillId="10" borderId="29" xfId="13" applyFill="1" applyBorder="1" applyProtection="1">
      <protection locked="0"/>
    </xf>
    <xf numFmtId="0" fontId="82" fillId="0" borderId="33" xfId="13" applyFont="1" applyBorder="1" applyAlignment="1">
      <alignment horizontal="left"/>
    </xf>
    <xf numFmtId="0" fontId="82" fillId="0" borderId="14" xfId="13" applyFont="1" applyBorder="1" applyAlignment="1">
      <alignment horizontal="left"/>
    </xf>
    <xf numFmtId="0" fontId="82" fillId="0" borderId="15" xfId="13" applyFont="1" applyBorder="1" applyAlignment="1">
      <alignment horizontal="left"/>
    </xf>
    <xf numFmtId="0" fontId="2" fillId="0" borderId="29" xfId="13" applyBorder="1" applyAlignment="1">
      <alignment horizontal="center"/>
    </xf>
    <xf numFmtId="0" fontId="96" fillId="0" borderId="33" xfId="13" applyFont="1" applyBorder="1" applyAlignment="1">
      <alignment horizontal="left"/>
    </xf>
    <xf numFmtId="0" fontId="99" fillId="0" borderId="14" xfId="13" applyFont="1" applyBorder="1" applyAlignment="1">
      <alignment horizontal="left"/>
    </xf>
    <xf numFmtId="0" fontId="99" fillId="0" borderId="15" xfId="13" applyFont="1" applyBorder="1" applyAlignment="1">
      <alignment horizontal="left"/>
    </xf>
    <xf numFmtId="0" fontId="79" fillId="0" borderId="33" xfId="13" applyFont="1" applyBorder="1"/>
    <xf numFmtId="0" fontId="79" fillId="0" borderId="14" xfId="13" applyFont="1" applyBorder="1"/>
    <xf numFmtId="0" fontId="79" fillId="0" borderId="15" xfId="13" applyFont="1" applyBorder="1"/>
    <xf numFmtId="165" fontId="0" fillId="0" borderId="33" xfId="14" applyNumberFormat="1" applyFont="1" applyBorder="1" applyAlignment="1">
      <alignment horizontal="center"/>
    </xf>
    <xf numFmtId="165" fontId="0" fillId="0" borderId="15" xfId="14" applyNumberFormat="1" applyFont="1" applyBorder="1" applyAlignment="1">
      <alignment horizontal="center"/>
    </xf>
    <xf numFmtId="0" fontId="2" fillId="0" borderId="33" xfId="13" applyBorder="1" applyAlignment="1">
      <alignment horizontal="center" wrapText="1"/>
    </xf>
    <xf numFmtId="0" fontId="2" fillId="0" borderId="15" xfId="13" applyBorder="1" applyAlignment="1">
      <alignment horizontal="center" wrapText="1"/>
    </xf>
    <xf numFmtId="165" fontId="79" fillId="0" borderId="30" xfId="14" applyNumberFormat="1" applyFont="1" applyBorder="1" applyAlignment="1">
      <alignment horizontal="center"/>
    </xf>
    <xf numFmtId="165" fontId="0" fillId="10" borderId="33" xfId="14" applyNumberFormat="1" applyFont="1" applyFill="1" applyBorder="1" applyAlignment="1" applyProtection="1">
      <protection locked="0"/>
    </xf>
    <xf numFmtId="165" fontId="0" fillId="10" borderId="15" xfId="14" applyNumberFormat="1" applyFont="1" applyFill="1" applyBorder="1" applyAlignment="1" applyProtection="1">
      <protection locked="0"/>
    </xf>
    <xf numFmtId="165" fontId="2" fillId="0" borderId="33" xfId="13" applyNumberFormat="1" applyBorder="1"/>
    <xf numFmtId="165" fontId="2" fillId="0" borderId="15" xfId="13" applyNumberFormat="1" applyBorder="1"/>
    <xf numFmtId="0" fontId="28" fillId="0" borderId="0" xfId="0" applyFont="1" applyAlignment="1" applyProtection="1">
      <alignment horizontal="center"/>
    </xf>
    <xf numFmtId="0" fontId="0" fillId="9" borderId="21" xfId="0" applyFill="1" applyBorder="1" applyAlignment="1" applyProtection="1">
      <alignment horizontal="center" vertical="center" textRotation="180"/>
    </xf>
    <xf numFmtId="0" fontId="0" fillId="9" borderId="30" xfId="0" applyFill="1" applyBorder="1" applyAlignment="1" applyProtection="1">
      <alignment horizontal="center" vertical="center" textRotation="180"/>
    </xf>
    <xf numFmtId="0" fontId="0" fillId="9" borderId="22" xfId="0" applyFill="1" applyBorder="1" applyAlignment="1" applyProtection="1">
      <alignment horizontal="center" vertical="center" textRotation="180"/>
    </xf>
    <xf numFmtId="165" fontId="0" fillId="9" borderId="21" xfId="3" applyNumberFormat="1" applyFont="1" applyFill="1" applyBorder="1" applyAlignment="1" applyProtection="1">
      <alignment horizontal="center" vertical="center" textRotation="180"/>
    </xf>
    <xf numFmtId="165" fontId="0" fillId="9" borderId="30" xfId="3" applyNumberFormat="1" applyFont="1" applyFill="1" applyBorder="1" applyAlignment="1" applyProtection="1">
      <alignment horizontal="center" vertical="center" textRotation="180"/>
    </xf>
    <xf numFmtId="165" fontId="0" fillId="9" borderId="22" xfId="3" applyNumberFormat="1" applyFont="1" applyFill="1" applyBorder="1" applyAlignment="1" applyProtection="1">
      <alignment horizontal="center" vertical="center" textRotation="180"/>
    </xf>
    <xf numFmtId="165" fontId="0" fillId="10" borderId="21" xfId="3" applyNumberFormat="1" applyFont="1" applyFill="1" applyBorder="1" applyAlignment="1" applyProtection="1">
      <alignment horizontal="center" vertical="center" textRotation="180" wrapText="1"/>
    </xf>
    <xf numFmtId="165" fontId="0" fillId="10" borderId="30" xfId="3" applyNumberFormat="1" applyFont="1" applyFill="1" applyBorder="1" applyAlignment="1" applyProtection="1">
      <alignment horizontal="center" vertical="center" textRotation="180" wrapText="1"/>
    </xf>
    <xf numFmtId="165" fontId="0" fillId="10" borderId="22" xfId="3" applyNumberFormat="1" applyFont="1" applyFill="1" applyBorder="1" applyAlignment="1" applyProtection="1">
      <alignment horizontal="center" vertical="center" textRotation="180" wrapText="1"/>
    </xf>
    <xf numFmtId="0" fontId="8" fillId="0" borderId="0" xfId="0" applyFont="1" applyAlignment="1" applyProtection="1">
      <alignment horizontal="center"/>
    </xf>
    <xf numFmtId="0" fontId="20" fillId="0" borderId="0" xfId="0" applyFont="1" applyAlignment="1">
      <alignment horizontal="center" wrapText="1"/>
    </xf>
  </cellXfs>
  <cellStyles count="18">
    <cellStyle name="ColLevel_1" xfId="2" builtinId="2" iLevel="0"/>
    <cellStyle name="Comma" xfId="3" builtinId="3"/>
    <cellStyle name="Comma 2" xfId="14" xr:uid="{2B95B6E1-BB29-4E17-9634-9F119EC81D05}"/>
    <cellStyle name="Comma 3" xfId="16" xr:uid="{B2C83557-2B08-4ED9-B7B6-B6B0910F323F}"/>
    <cellStyle name="Currency" xfId="4" builtinId="4"/>
    <cellStyle name="Currency 2" xfId="9" xr:uid="{00000000-0005-0000-0000-000003000000}"/>
    <cellStyle name="Hyperlink" xfId="5" builtinId="8"/>
    <cellStyle name="Hyperlink 2" xfId="12" xr:uid="{8A8AF1AF-B350-481F-ADA1-2D45336F7647}"/>
    <cellStyle name="Normal" xfId="0" builtinId="0"/>
    <cellStyle name="Normal 2" xfId="11" xr:uid="{00000000-0005-0000-0000-000006000000}"/>
    <cellStyle name="Normal 2 2" xfId="8" xr:uid="{00000000-0005-0000-0000-000007000000}"/>
    <cellStyle name="Normal 3" xfId="13" xr:uid="{8D57B3A9-CA65-4BE7-95C5-E5B0DD0C2604}"/>
    <cellStyle name="Normal 4" xfId="15" xr:uid="{A19000C0-2D8D-46D8-A45A-E9FDCAA301DA}"/>
    <cellStyle name="Normal_LISTS" xfId="6" xr:uid="{00000000-0005-0000-0000-000008000000}"/>
    <cellStyle name="Percent" xfId="7" builtinId="5"/>
    <cellStyle name="Percent 2" xfId="10" xr:uid="{00000000-0005-0000-0000-00000A000000}"/>
    <cellStyle name="Percent 3" xfId="17" xr:uid="{AEF8E1AF-2E74-48E0-85E5-817D481A69A6}"/>
    <cellStyle name="RowLevel_1" xfId="1" builtinId="1" iLevel="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1041400</xdr:colOff>
      <xdr:row>0</xdr:row>
      <xdr:rowOff>101600</xdr:rowOff>
    </xdr:from>
    <xdr:to>
      <xdr:col>2</xdr:col>
      <xdr:colOff>1028700</xdr:colOff>
      <xdr:row>1</xdr:row>
      <xdr:rowOff>215900</xdr:rowOff>
    </xdr:to>
    <xdr:sp macro="" textlink="">
      <xdr:nvSpPr>
        <xdr:cNvPr id="5122" name="btnSource" hidden="1">
          <a:extLst>
            <a:ext uri="{63B3BB69-23CF-44E3-9099-C40C66FF867C}">
              <a14:compatExt xmlns:a14="http://schemas.microsoft.com/office/drawing/2010/main" spid="_x0000_s5122"/>
            </a:ext>
            <a:ext uri="{FF2B5EF4-FFF2-40B4-BE49-F238E27FC236}">
              <a16:creationId xmlns:a16="http://schemas.microsoft.com/office/drawing/2014/main" id="{00000000-0008-0000-0700-0000021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1</xdr:col>
      <xdr:colOff>781050</xdr:colOff>
      <xdr:row>0</xdr:row>
      <xdr:rowOff>76200</xdr:rowOff>
    </xdr:from>
    <xdr:to>
      <xdr:col>2</xdr:col>
      <xdr:colOff>771525</xdr:colOff>
      <xdr:row>1</xdr:row>
      <xdr:rowOff>161925</xdr:rowOff>
    </xdr:to>
    <xdr:pic>
      <xdr:nvPicPr>
        <xdr:cNvPr id="2" name="btnSource" hidden="1">
          <a:extLst>
            <a:ext uri="{FF2B5EF4-FFF2-40B4-BE49-F238E27FC236}">
              <a16:creationId xmlns:a16="http://schemas.microsoft.com/office/drawing/2014/main" id="{B3626EA1-8C31-4BC6-B953-E08C93F02DD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 y="76200"/>
          <a:ext cx="1343025"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101600</xdr:colOff>
      <xdr:row>0</xdr:row>
      <xdr:rowOff>63500</xdr:rowOff>
    </xdr:from>
    <xdr:to>
      <xdr:col>7</xdr:col>
      <xdr:colOff>520700</xdr:colOff>
      <xdr:row>1</xdr:row>
      <xdr:rowOff>139700</xdr:rowOff>
    </xdr:to>
    <xdr:sp macro="" textlink="">
      <xdr:nvSpPr>
        <xdr:cNvPr id="6145" name="CommandButton1" hidden="1">
          <a:extLst>
            <a:ext uri="{63B3BB69-23CF-44E3-9099-C40C66FF867C}">
              <a14:compatExt xmlns:a14="http://schemas.microsoft.com/office/drawing/2010/main"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6</xdr:col>
      <xdr:colOff>76200</xdr:colOff>
      <xdr:row>0</xdr:row>
      <xdr:rowOff>47625</xdr:rowOff>
    </xdr:from>
    <xdr:to>
      <xdr:col>7</xdr:col>
      <xdr:colOff>390525</xdr:colOff>
      <xdr:row>1</xdr:row>
      <xdr:rowOff>104775</xdr:rowOff>
    </xdr:to>
    <xdr:pic>
      <xdr:nvPicPr>
        <xdr:cNvPr id="2" name="CommandButton1">
          <a:extLst>
            <a:ext uri="{FF2B5EF4-FFF2-40B4-BE49-F238E27FC236}">
              <a16:creationId xmlns:a16="http://schemas.microsoft.com/office/drawing/2014/main" id="{57A30F1B-F987-419D-B7F3-0EE4752CB991}"/>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81450" y="47625"/>
          <a:ext cx="933450" cy="2381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63500</xdr:rowOff>
    </xdr:from>
    <xdr:to>
      <xdr:col>0</xdr:col>
      <xdr:colOff>1003300</xdr:colOff>
      <xdr:row>1</xdr:row>
      <xdr:rowOff>139700</xdr:rowOff>
    </xdr:to>
    <xdr:sp macro="" textlink="">
      <xdr:nvSpPr>
        <xdr:cNvPr id="8193" name="btnFilterPF" hidden="1">
          <a:extLst>
            <a:ext uri="{63B3BB69-23CF-44E3-9099-C40C66FF867C}">
              <a14:compatExt xmlns:a14="http://schemas.microsoft.com/office/drawing/2010/main"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PrintsWithSheet="0"/>
  </xdr:twoCellAnchor>
  <xdr:twoCellAnchor editAs="oneCell">
    <xdr:from>
      <xdr:col>0</xdr:col>
      <xdr:colOff>28575</xdr:colOff>
      <xdr:row>0</xdr:row>
      <xdr:rowOff>47625</xdr:rowOff>
    </xdr:from>
    <xdr:to>
      <xdr:col>0</xdr:col>
      <xdr:colOff>752475</xdr:colOff>
      <xdr:row>1</xdr:row>
      <xdr:rowOff>104775</xdr:rowOff>
    </xdr:to>
    <xdr:pic>
      <xdr:nvPicPr>
        <xdr:cNvPr id="2" name="btnFilterPF" hidden="1">
          <a:extLst>
            <a:ext uri="{FF2B5EF4-FFF2-40B4-BE49-F238E27FC236}">
              <a16:creationId xmlns:a16="http://schemas.microsoft.com/office/drawing/2014/main" id="{17925CB0-2307-46F8-B136-07A10A933D29}"/>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47625"/>
          <a:ext cx="723900" cy="2190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18</xdr:col>
      <xdr:colOff>33618</xdr:colOff>
      <xdr:row>0</xdr:row>
      <xdr:rowOff>44824</xdr:rowOff>
    </xdr:from>
    <xdr:to>
      <xdr:col>27</xdr:col>
      <xdr:colOff>531159</xdr:colOff>
      <xdr:row>111</xdr:row>
      <xdr:rowOff>179295</xdr:rowOff>
    </xdr:to>
    <xdr:sp macro="" textlink="">
      <xdr:nvSpPr>
        <xdr:cNvPr id="2" name="TextBox 1">
          <a:extLst>
            <a:ext uri="{FF2B5EF4-FFF2-40B4-BE49-F238E27FC236}">
              <a16:creationId xmlns:a16="http://schemas.microsoft.com/office/drawing/2014/main" id="{19E2BBC9-DD37-4123-A7B9-C958D80723D8}"/>
            </a:ext>
          </a:extLst>
        </xdr:cNvPr>
        <xdr:cNvSpPr txBox="1"/>
      </xdr:nvSpPr>
      <xdr:spPr>
        <a:xfrm>
          <a:off x="13216218" y="44824"/>
          <a:ext cx="5983941" cy="19336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Proration Method Cost Allocation Worksheet- HOME Investment, Determine HOME Units Needed</a:t>
          </a:r>
        </a:p>
        <a:p>
          <a:r>
            <a:rPr lang="en-US" sz="1100">
              <a:solidFill>
                <a:schemeClr val="dk1"/>
              </a:solidFill>
              <a:effectLst/>
              <a:latin typeface="+mn-lt"/>
              <a:ea typeface="+mn-ea"/>
              <a:cs typeface="+mn-cs"/>
            </a:rPr>
            <a:t>This worksheet may be used when a project’s units are comparable and the proposed HOME investment is known.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typically based on the PJ’s initial underwriting review of the project and/or the funding request from the developer.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This line shows the “Base Project Cost.”  It is calculated by deducting HOME-ineligible costs (line 4) and relocation costs that will be assigned exclusively to HOME units (from line 5 if line 6 is “Yes”)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calculates the “Base Cost Per Square Foot” by dividing the Base Project Cost (line 7)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“HOME Share Ratio.”  It is the percentage of the Base Project Cost (line 7) represented by the proposed HOME investment on line 2 (i.e. the proposed HOME Investment divided by the Base Project Cost).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This line, as well as lines 11-19, calculates the number of HOME-assisted units required for each unit “type” that was entered on the Selection of Method worksheet.  It also calculates the cost of the “typical” unit from each grouping and the costs of the HOME-assisted units of this type.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 each unit type, the worksheet identifies the total number of such units, shows the description of the unit type, and identifies the number of bedrooms in each such unit.  This information is pulled automatically from the Selection of Method worksheet.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calculates the minimum number of HOME units needed by multiplying the total number of such units by the HOME Share Ratio from line 9.  The next column then rounds up to a whole number.  This is the number units of this type that must be designated as HOME-assisted.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Then the worksheet multiplies the average square footage by the Base Cost Per Square Foot (from line 8) to arrive at the individual cost of for a typical unit of this type.  The next column multiplies the number of HOME-assisted units by the cost of the typical unit to arrive at the total cost of the HOME-assisted units of this type.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20. This line subtotals the costs of the HOME-assisted units from each type of unit on lines 10-19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21. If the PJ has chosen to assign any relocation costs exclusively to the HOME-assisted units (by entering “Yes” on line 6 above), then this line will show the relocation costs originally entered on line 5 above.  If the PJ is treating relocation as a common cost of the project (by answering “No” on line 6)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22. This line calculates the “Actual Cost of HOME Units” by adding together the subtotal of individual unit costs (line 20) and any relocation costs assigned exclusively to the HOME-assisted units (line 21).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23. Enter the maximum per-unit HOME subsidy for a 0-bedroom (aka efficiency) unit in the yellow input cell.  The maximum per-unit HOME subsidy should be obtained from the local HUD Field Office.  This line automatically counts the number of 0-bedroom units from lines 10-19 above and then multiplies the number of such units by the maximum per-unit subsidy for such units.  The resulting subtotal of the maximum subsidy for this size unit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24. Enter the maximum per-unit HOME subsidy for a 1-bedroom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25. Enter the maximum per-unit HOME subsidy for a 2-bedroom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26. Enter the maximum per-unit HOME subsidy for a 3-bedroom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27. Enter the maximum per-unit HOME subsidy for a 4-bedroom unit in the yellow input cell.  See the explanation for line 23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28. This line calculates the “Maximum Project Subsidy” by adding together the subtotals from lines 23-27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29. This line shows the proposed HOME investment originally entered on line 2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shows the actual cost of the HOME units originally calculated on line 22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This line shows the maximum project subsidy calculated on line 28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shows the “Maximum HOME Investment” by calculating the lesser of the figures on lines 29-31 above. </a:t>
          </a:r>
        </a:p>
        <a:p>
          <a:pPr lvl="0"/>
          <a:endParaRPr lang="en-US" sz="1100">
            <a:solidFill>
              <a:schemeClr val="dk1"/>
            </a:solidFill>
            <a:effectLst/>
            <a:latin typeface="+mn-lt"/>
            <a:ea typeface="+mn-ea"/>
            <a:cs typeface="+mn-cs"/>
          </a:endParaRPr>
        </a:p>
        <a:p>
          <a:pPr lvl="0"/>
          <a:r>
            <a:rPr lang="en-US" sz="1100" i="1">
              <a:solidFill>
                <a:schemeClr val="dk1"/>
              </a:solidFill>
              <a:effectLst/>
              <a:latin typeface="+mn-lt"/>
              <a:ea typeface="+mn-ea"/>
              <a:cs typeface="+mn-cs"/>
            </a:rPr>
            <a:t>(Rev. 9.14.17)</a:t>
          </a:r>
        </a:p>
        <a:p>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11206</xdr:colOff>
      <xdr:row>0</xdr:row>
      <xdr:rowOff>22410</xdr:rowOff>
    </xdr:from>
    <xdr:to>
      <xdr:col>26</xdr:col>
      <xdr:colOff>508747</xdr:colOff>
      <xdr:row>110</xdr:row>
      <xdr:rowOff>33618</xdr:rowOff>
    </xdr:to>
    <xdr:sp macro="" textlink="">
      <xdr:nvSpPr>
        <xdr:cNvPr id="2" name="TextBox 1">
          <a:extLst>
            <a:ext uri="{FF2B5EF4-FFF2-40B4-BE49-F238E27FC236}">
              <a16:creationId xmlns:a16="http://schemas.microsoft.com/office/drawing/2014/main" id="{E5E1930A-0893-4C8B-B04F-82F272DE8A85}"/>
            </a:ext>
          </a:extLst>
        </xdr:cNvPr>
        <xdr:cNvSpPr txBox="1"/>
      </xdr:nvSpPr>
      <xdr:spPr>
        <a:xfrm>
          <a:off x="11860306" y="22410"/>
          <a:ext cx="5983941" cy="193564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rgbClr val="0070C0"/>
              </a:solidFill>
              <a:effectLst/>
              <a:latin typeface="+mn-lt"/>
              <a:ea typeface="+mn-ea"/>
              <a:cs typeface="+mn-cs"/>
            </a:rPr>
            <a:t>Standard Method Worksheet Instructions</a:t>
          </a:r>
        </a:p>
        <a:p>
          <a:r>
            <a:rPr lang="en-US" sz="1100">
              <a:solidFill>
                <a:schemeClr val="dk1"/>
              </a:solidFill>
              <a:effectLst/>
              <a:latin typeface="+mn-lt"/>
              <a:ea typeface="+mn-ea"/>
              <a:cs typeface="+mn-cs"/>
            </a:rPr>
            <a:t>This worksheet can be used for any multi-unit HOME project where cost allocation is required.  The Standard Method is the required cost allocation process if a project’s units are not comparable.  Even if units are comparable, when a PJ plans to designate fixed HOME units, use of the Standard Method is advised.  Finally, the Standard Method worksheet can be used whether the starting input is the proposed HOME investment or a set of proposed HOME-assisted units.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This line will initially show the total residential square footage of the project calculated on the Selection of Method worksheet.  That should include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the square footage of the units themselves and not common spaces such as hallways, leasing offices, community rooms, staircases, etc.  This line will allow a user to enter the gross square footage of the residential units in the project (thus over-writing the automatic link) but will also return a warning noting this misalignment.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2. Enter the proposed HOME investment.  If using the worksheet to determine the cost of a pre-identified set of proposed HOME units, then this cell may be left blank.  Prior to committing funds to the project, the PJ will need to underwrite the project, determine the gap, and ensure that the award to the project is no more than that needed to ensure viability.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 Enter the project’s total development cost.  This includes all project costs determined to be necessary and reasonable, including costs which may not be eligible for direct reimbursement with HOME funds.  Note, for mixed-use projects that involved both residential and non-residential uses (e.g. a project with commercial/retail on the ground floor and residential units above), the non-residential costs must be removed prior to entering the figure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 Enter the portion of the total development cost that has been identified as ineligible for HOME funding.  This will include, but not be limited to, most capitalized reserves, any off-site infrastructure, any organizational and syndication costs, and the cost of free-standing accessory structures.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5. If the units in the project are not comparable and some units have upgraded finishes or amenities (e.g. some units have fireplaces, upgraded appliance packages, premium fixtures, etc.), enter the cost of these upgrades on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6. Enter costs associated with URA- or Section 104(d)-required relocation.  This may involve temporary relocation or permanent displacement.  Note that the costs of relocation associated with other funding programs or additional incentives or monetary payments paid to occupants in connection with their relocation from a HOME-assisted project (i.e. any relocation costs not driven by HOME-specific requirements) must be treated as ineligible HOME costs and included on line 4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7. Using the dropdown selection, identity whether relocation costs will be assigned exclusively to HOME-assisted units (“Yes”) or will be treated as a common cost of the project (“No”).  PJs may choose either option.  The most common approach in practice is to treat relocation costs as common costs.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8. This line shows the “Base Project Cost.”  It is calculated by deducting HOME-ineligible costs (line 4), non-standard upgrade costs (line 5), and any URA costs that will be assigned exclusively to HOME units from the total development cost (line 3).</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9. This line calculates the “Base Cost Per Square Foot” by dividing the Base Project Cost (line 8) by the gross residential square footage (line 1).  For programming purposes, the result in this cell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cent.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10. Enter information on the specific units being designated as HOME-assisted units in the first four columns of this line.  This will include the specific unit number (e.g. 101, 3-A, etc.), a description of the unit (usually the number of bedrooms and bathrooms), the number of bedrooms, and the square footage of the specific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fourth column of this line calculates the “Individual Unit Cost” by multiplying the unit’s square footage by the Base Cost Per Square Foot (line 9).  For programming purposes, the result on this line is rounded </a:t>
          </a:r>
          <a:r>
            <a:rPr lang="en-US" sz="1100" u="sng">
              <a:solidFill>
                <a:schemeClr val="dk1"/>
              </a:solidFill>
              <a:effectLst/>
              <a:latin typeface="+mn-lt"/>
              <a:ea typeface="+mn-ea"/>
              <a:cs typeface="+mn-cs"/>
            </a:rPr>
            <a:t>down</a:t>
          </a:r>
          <a:r>
            <a:rPr lang="en-US" sz="1100">
              <a:solidFill>
                <a:schemeClr val="dk1"/>
              </a:solidFill>
              <a:effectLst/>
              <a:latin typeface="+mn-lt"/>
              <a:ea typeface="+mn-ea"/>
              <a:cs typeface="+mn-cs"/>
            </a:rPr>
            <a:t> to the nearest dollar.</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instructions for line 11-29 are the same.  Each HOME-assisted unit must be entered on its own line.  Note that rows 20-29 are “hidden” in the Excel worksheet.  If more than 10 HOME-assisted units need to be designated, users can “right click” in the left hand margin to unhide those additional rows.  This worksheet is designed to accommodate up to 20 specific HOME-assisted units.</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30. This line subtotals the individual unit cost from each designated HOME unit entered on lines 10-29 above.  </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31. If the PJ has chosen to assign any relocation costs exclusively to the HOME-assisted units (by entering “Yes” on line 7 above), then this line will show the relocation costs originally entered on line 6.  If the PJ is treating relocation as a common cost of the project (by answering “No” on line 7) this line will return a blank or 0 value.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32. This line calculates the “Actual Cost of HOME Units” by adding together the subtotal of individual unit costs (line 30) and any relocation costs assigned exclusively to the HOME-assisted units (line 31).</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33. Enter the maximum per-unit HOME subsidy for a 0-bedroom (aka efficiency) unit in the yellow input cell.  The maximum per-unit HOME subsidy should be obtained from the local HUD Field Office.  The first column of this line automatically counts the number of 0-bedroom units entered on lines 10-29.  The sheet then then multiplies the number of such units by the maximum per-unit subsidy.  The resulting subtotal of the maximum subsidy for units of this size is shown on the right-hand column of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34. Enter the maximum per-unit HOME subsidy for a 1-bedroom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35. Enter the maximum per-unit HOME subsidy for a 2-bedroom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36. Enter the maximum per-unit HOME subsidy for a 3-bedroom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37. Enter the maximum per-unit HOME subsidy for a 4-bedroom unit in the yellow input cell.  See the explanation for line 33 above for a description of the calculated cells in this line.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38. This line calculates the “Maximum Project Subsidy” by adding together the subtotals from lines 33-37 above, each of which multiplied the number of HOME-assisted units of a given bedroom size by the maximum per-unit subsidy applicable to that size unit.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39. This line shows the proposed HOME investment originally entered on line 2 above.  If the cost allocation process was initially completed to determine the costs allocable to an identified set of units, this line may be blank.  In such cases, the PJ will need to underwrite the project, determine the gap, and rerun the cost allocation review with this figure entered prior to committing funds to the project.</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40. This line shows the actual cost of the HOME units originally calculated on line 32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41. This line shows the maximum project subsidy calculated on line 38 above.</a:t>
          </a:r>
        </a:p>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42. This line shows the “Maximum HOME Investment” by calculating the lesser of the figures on lines 39-41 above. </a:t>
          </a:r>
        </a:p>
        <a:p>
          <a:endParaRPr lang="en-US" sz="1100"/>
        </a:p>
        <a:p>
          <a:r>
            <a:rPr lang="en-US" sz="1100" i="1"/>
            <a:t>(Rev. 9.14.17)</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HDATA\DEVSERV\Projects\2018\Ickes\SLR\SLR%20based%20on%20CPF_Ickes%20Southbridge%204%25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hicagogov-my.sharepoint.com/personal/james_oconnell_cityofchicago_org/Documents/Austin%20United%20-%20ISW/HOME%20Allocation/HOME%20Cost%20Allocation%20Tool%20-%20AUA%20ISW%20-%2001.19.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R Form"/>
      <sheetName val="SLR Analysis"/>
      <sheetName val="Setup"/>
      <sheetName val="DevCosts"/>
      <sheetName val="Units&amp;Income"/>
      <sheetName val="Op_Costs"/>
      <sheetName val="Sources"/>
      <sheetName val="ARC"/>
      <sheetName val="OpProforma"/>
      <sheetName val="Lease_Up"/>
      <sheetName val="DOH_Eligible"/>
      <sheetName val="Refi"/>
      <sheetName val="LIHTCs&amp;BLDGs"/>
      <sheetName val="BLANK"/>
      <sheetName val="Deal_Overview"/>
      <sheetName val="Max_Limits"/>
      <sheetName val="Lists"/>
      <sheetName val="About"/>
    </sheetNames>
    <sheetDataSet>
      <sheetData sheetId="0" refreshError="1"/>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lection of Method"/>
      <sheetName val="Standard Method"/>
      <sheetName val="Proration Method - Units Needed"/>
      <sheetName val="Proration Method - $ Needed"/>
      <sheetName val="Hybrid Method - $ Needed"/>
    </sheetNames>
    <sheetDataSet>
      <sheetData sheetId="0" refreshError="1"/>
      <sheetData sheetId="1">
        <row r="4">
          <cell r="D4" t="str">
            <v>Austin United Alliance</v>
          </cell>
        </row>
        <row r="6">
          <cell r="D6" t="str">
            <v>01.24.22</v>
          </cell>
        </row>
        <row r="23">
          <cell r="F23">
            <v>64800</v>
          </cell>
        </row>
      </sheetData>
      <sheetData sheetId="2">
        <row r="51">
          <cell r="D51">
            <v>153314.4</v>
          </cell>
        </row>
        <row r="52">
          <cell r="D52">
            <v>175752</v>
          </cell>
        </row>
        <row r="53">
          <cell r="D53">
            <v>213717.6</v>
          </cell>
        </row>
        <row r="54">
          <cell r="D54">
            <v>276482.39999999997</v>
          </cell>
        </row>
        <row r="55">
          <cell r="D55">
            <v>303489.59999999998</v>
          </cell>
        </row>
      </sheetData>
      <sheetData sheetId="3"/>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http://egov.cityofchicago.org/city/webportal/portalContentItemAction.do?BV_SessionID=@@@@1188661879.1059329543@@@@&amp;BV_EngineID=cccdadciligiglmcefecelldffhdffn.0&amp;contentOID=9486&amp;contenTypeName=COC_EDITORIAL&amp;topChannelName=Government&amp;blockName=Promo+Item&amp;channelId=-536879035&amp;programId=536879154" TargetMode="External"/><Relationship Id="rId13" Type="http://schemas.openxmlformats.org/officeDocument/2006/relationships/hyperlink" Target="http://egov.cityofchicago.org/city/webportal/portalContentItemAction.do?BV_SessionID=@@@@1188661879.1059329543@@@@&amp;BV_EngineID=cccdadciligiglmcefecelldffhdffn.0&amp;contentOID=9480&amp;contenTypeName=COC_EDITORIAL&amp;topChannelName=Government&amp;blockName=Promo+Item&amp;channelId=-536879035&amp;programId=536879154" TargetMode="External"/><Relationship Id="rId18" Type="http://schemas.openxmlformats.org/officeDocument/2006/relationships/hyperlink" Target="http://egov.cityofchicago.org/city/webportal/portalContentItemAction.do?BV_SessionID=@@@@1188661879.1059329543@@@@&amp;BV_EngineID=cccdadciligiglmcefecelldffhdffn.0&amp;contentOID=9475&amp;contenTypeName=COC_EDITORIAL&amp;topChannelName=Government&amp;blockName=Promo+Item&amp;channelId=-536879035&amp;programId=536879154" TargetMode="External"/><Relationship Id="rId26" Type="http://schemas.openxmlformats.org/officeDocument/2006/relationships/hyperlink" Target="http://egov.cityofchicago.org/city/webportal/portalContentItemAction.do?BV_SessionID=@@@@1188661879.1059329543@@@@&amp;BV_EngineID=cccdadciligiglmcefecelldffhdffn.0&amp;contentOID=9466&amp;contenTypeName=COC_EDITORIAL&amp;topChannelName=Government&amp;blockName=Promo+Item&amp;channelId=-536879035&amp;programId=536879154" TargetMode="External"/><Relationship Id="rId39" Type="http://schemas.openxmlformats.org/officeDocument/2006/relationships/hyperlink" Target="http://egov.cityofchicago.org/city/webportal/portalContentItemAction.do?BV_SessionID=@@@@1188661879.1059329543@@@@&amp;BV_EngineID=cccdadciligiglmcefecelldffhdffn.0&amp;contentOID=9452&amp;contenTypeName=COC_EDITORIAL&amp;topChannelName=Government&amp;blockName=Promo+Item&amp;channelId=-536879035&amp;programId=536879154" TargetMode="External"/><Relationship Id="rId3" Type="http://schemas.openxmlformats.org/officeDocument/2006/relationships/hyperlink" Target="http://egov.cityofchicago.org/city/webportal/portalContentItemAction.do?BV_SessionID=@@@@1188661879.1059329543@@@@&amp;BV_EngineID=cccdadciligiglmcefecelldffhdffn.0&amp;contentOID=536882917&amp;contenTypeName=COC_EDITORIAL&amp;topChannelName=Government&amp;blockName=Promo+Item&amp;channelId=-536879035&amp;programId=536879154" TargetMode="External"/><Relationship Id="rId21" Type="http://schemas.openxmlformats.org/officeDocument/2006/relationships/hyperlink" Target="http://egov.cityofchicago.org/city/webportal/portalContentItemAction.do?BV_SessionID=@@@@1188661879.1059329543@@@@&amp;BV_EngineID=cccdadciligiglmcefecelldffhdffn.0&amp;contentOID=9472&amp;contenTypeName=COC_EDITORIAL&amp;topChannelName=Government&amp;blockName=Promo+Item&amp;channelId=-536879035&amp;programId=536879154" TargetMode="External"/><Relationship Id="rId34" Type="http://schemas.openxmlformats.org/officeDocument/2006/relationships/hyperlink" Target="http://egov.cityofchicago.org/city/webportal/portalContentItemAction.do?BV_SessionID=@@@@1188661879.1059329543@@@@&amp;BV_EngineID=cccdadciligiglmcefecelldffhdffn.0&amp;contentOID=9457&amp;contenTypeName=COC_EDITORIAL&amp;topChannelName=Government&amp;blockName=Promo+Item&amp;channelId=-536879035&amp;programId=536879154" TargetMode="External"/><Relationship Id="rId42" Type="http://schemas.openxmlformats.org/officeDocument/2006/relationships/hyperlink" Target="http://egov.cityofchicago.org/city/webportal/portalContentItemAction.do?BV_SessionID=@@@@1188661879.1059329543@@@@&amp;BV_EngineID=cccdadciligiglmcefecelldffhdffn.0&amp;contentOID=9492&amp;contenTypeName=COC_EDITORIAL&amp;topChannelName=Government&amp;blockName=Promo+Item&amp;channelId=-536879035&amp;programId=536879154" TargetMode="External"/><Relationship Id="rId47" Type="http://schemas.openxmlformats.org/officeDocument/2006/relationships/printerSettings" Target="../printerSettings/printerSettings19.bin"/><Relationship Id="rId7" Type="http://schemas.openxmlformats.org/officeDocument/2006/relationships/hyperlink" Target="http://egov.cityofchicago.org/city/webportal/portalContentItemAction.do?BV_SessionID=@@@@1188661879.1059329543@@@@&amp;BV_EngineID=cccdadciligiglmcefecelldffhdffn.0&amp;contentOID=9487&amp;contenTypeName=COC_EDITORIAL&amp;topChannelName=Government&amp;blockName=Promo+Item&amp;channelId=-536879035&amp;programId=536879154" TargetMode="External"/><Relationship Id="rId12" Type="http://schemas.openxmlformats.org/officeDocument/2006/relationships/hyperlink" Target="http://egov.cityofchicago.org/city/webportal/portalEntityHomeAction.do?BV_SessionID=@@@@1188661879.1059329543@@@@&amp;BV_EngineID=cccdadciligiglmcefecelldffhdffn.0&amp;entityName=Ward39&amp;entityNameEnumValue=84" TargetMode="External"/><Relationship Id="rId17" Type="http://schemas.openxmlformats.org/officeDocument/2006/relationships/hyperlink" Target="http://egov.cityofchicago.org/city/webportal/portalContentItemAction.do?BV_SessionID=@@@@1188661879.1059329543@@@@&amp;BV_EngineID=cccdadciligiglmcefecelldffhdffn.0&amp;contentOID=9476&amp;contenTypeName=COC_EDITORIAL&amp;topChannelName=Government&amp;blockName=Promo+Item&amp;channelId=-536879035&amp;programId=536879154" TargetMode="External"/><Relationship Id="rId25" Type="http://schemas.openxmlformats.org/officeDocument/2006/relationships/hyperlink" Target="http://egov.cityofchicago.org/city/webportal/portalContentItemAction.do?BV_SessionID=@@@@1188661879.1059329543@@@@&amp;BV_EngineID=cccdadciligiglmcefecelldffhdffn.0&amp;contentOID=9467&amp;contenTypeName=COC_EDITORIAL&amp;topChannelName=Government&amp;blockName=Promo+Item&amp;channelId=-536879035&amp;programId=536879154" TargetMode="External"/><Relationship Id="rId33" Type="http://schemas.openxmlformats.org/officeDocument/2006/relationships/hyperlink" Target="http://egov.cityofchicago.org/city/webportal/portalEntityHomeAction.do?BV_SessionID=@@@@1188661879.1059329543@@@@&amp;BV_EngineID=cccdadciligiglmcefecelldffhdffn.0&amp;entityName=Ward18&amp;entityNameEnumValue=63" TargetMode="External"/><Relationship Id="rId38" Type="http://schemas.openxmlformats.org/officeDocument/2006/relationships/hyperlink" Target="http://egov.cityofchicago.org/city/webportal/portalContentItemAction.do?BV_SessionID=@@@@1188661879.1059329543@@@@&amp;BV_EngineID=cccdadciligiglmcefecelldffhdffn.0&amp;contentOID=9453&amp;contenTypeName=COC_EDITORIAL&amp;topChannelName=Government&amp;blockName=Promo+Item&amp;channelId=-536879035&amp;programId=536879154" TargetMode="External"/><Relationship Id="rId46" Type="http://schemas.openxmlformats.org/officeDocument/2006/relationships/hyperlink" Target="http://egov.cityofchicago.org/city/webportal/portalContentItemAction.do?BV_SessionID=@@@@1188661879.1059329543@@@@&amp;BV_EngineID=cccdadciligiglmcefecelldffhdffn.0&amp;contentOID=9488&amp;contenTypeName=COC_EDITORIAL&amp;topChannelName=Government&amp;blockName=Promo+Item&amp;channelId=-536879035&amp;programId=536879154" TargetMode="External"/><Relationship Id="rId2" Type="http://schemas.openxmlformats.org/officeDocument/2006/relationships/hyperlink" Target="http://egov.cityofchicago.org/city/webportal/portalContentItemAction.do?BV_SessionID=@@@@1188661879.1059329543@@@@&amp;BV_EngineID=cccdadciligiglmcefecelldffhdffn.0&amp;contentOID=536882918&amp;contenTypeName=COC_EDITORIAL&amp;topChannelName=Government&amp;blockName=Promo+Item&amp;channelId=-536879035&amp;programId=536879154" TargetMode="External"/><Relationship Id="rId16" Type="http://schemas.openxmlformats.org/officeDocument/2006/relationships/hyperlink" Target="http://egov.cityofchicago.org/city/webportal/portalContentItemAction.do?BV_SessionID=@@@@1188661879.1059329543@@@@&amp;BV_EngineID=cccdadciligiglmcefecelldffhdffn.0&amp;contentOID=9477&amp;contenTypeName=COC_EDITORIAL&amp;topChannelName=Government&amp;blockName=Promo+Item&amp;channelId=-536879035&amp;programId=536879154" TargetMode="External"/><Relationship Id="rId20" Type="http://schemas.openxmlformats.org/officeDocument/2006/relationships/hyperlink" Target="http://egov.cityofchicago.org/city/webportal/portalContentItemAction.do?BV_SessionID=@@@@1188661879.1059329543@@@@&amp;BV_EngineID=cccdadciligiglmcefecelldffhdffn.0&amp;contentOID=9473&amp;contenTypeName=COC_EDITORIAL&amp;topChannelName=Government&amp;blockName=Promo+Item&amp;channelId=-536879035&amp;programId=536879154" TargetMode="External"/><Relationship Id="rId29" Type="http://schemas.openxmlformats.org/officeDocument/2006/relationships/hyperlink" Target="http://egov.cityofchicago.org/city/webportal/portalContentItemAction.do?BV_SessionID=@@@@1188661879.1059329543@@@@&amp;BV_EngineID=cccdadciligiglmcefecelldffhdffn.0&amp;contentOID=9463&amp;contenTypeName=COC_EDITORIAL&amp;topChannelName=Government&amp;blockName=Promo+Item&amp;channelId=-536879035&amp;programId=536879154" TargetMode="External"/><Relationship Id="rId41" Type="http://schemas.openxmlformats.org/officeDocument/2006/relationships/hyperlink" Target="http://egov.cityofchicago.org/city/webportal/portalContentItemAction.do?BV_SessionID=@@@@1188661879.1059329543@@@@&amp;BV_EngineID=cccdadciligiglmcefecelldffhdffn.0&amp;contentOID=9450&amp;contenTypeName=COC_EDITORIAL&amp;topChannelName=Government&amp;blockName=Promo+Item&amp;channelId=-536879035&amp;programId=536879154" TargetMode="External"/><Relationship Id="rId1" Type="http://schemas.openxmlformats.org/officeDocument/2006/relationships/hyperlink" Target="http://egov.cityofchicago.org/city/webportal/portalContentItemAction.do?BV_SessionID=@@@@1188661879.1059329543@@@@&amp;BV_EngineID=cccdadciligiglmcefecelldffhdffn.0&amp;contentOID=536882919&amp;contenTypeName=COC_EDITORIAL&amp;topChannelName=Government&amp;blockName=Promo+Item&amp;channelId=-536879035&amp;programId=536879154" TargetMode="External"/><Relationship Id="rId6" Type="http://schemas.openxmlformats.org/officeDocument/2006/relationships/hyperlink" Target="http://egov.cityofchicago.org/city/webportal/portalContentItemAction.do?BV_SessionID=@@@@1188661879.1059329543@@@@&amp;BV_EngineID=cccdadciligiglmcefecelldffhdffn.0&amp;contentOID=11018&amp;contenTypeName=COC_EDITORIAL&amp;topChannelName=Government&amp;blockName=Promo+Item&amp;channelId=-536879035&amp;programId=536879154" TargetMode="External"/><Relationship Id="rId11" Type="http://schemas.openxmlformats.org/officeDocument/2006/relationships/hyperlink" Target="http://egov.cityofchicago.org/city/webportal/portalContentItemAction.do?BV_SessionID=@@@@1188661879.1059329543@@@@&amp;BV_EngineID=cccdadciligiglmcefecelldffhdffn.0&amp;contentOID=9483&amp;contenTypeName=COC_EDITORIAL&amp;topChannelName=Government&amp;blockName=Promo+Item&amp;channelId=-536879035&amp;programId=536879154" TargetMode="External"/><Relationship Id="rId24" Type="http://schemas.openxmlformats.org/officeDocument/2006/relationships/hyperlink" Target="http://egov.cityofchicago.org/city/webportal/portalContentItemAction.do?BV_SessionID=@@@@1188661879.1059329543@@@@&amp;BV_EngineID=cccdadciligiglmcefecelldffhdffn.0&amp;contentOID=9468&amp;contenTypeName=COC_EDITORIAL&amp;topChannelName=Government&amp;blockName=Promo+Item&amp;channelId=-536879035&amp;programId=536879154" TargetMode="External"/><Relationship Id="rId32" Type="http://schemas.openxmlformats.org/officeDocument/2006/relationships/hyperlink" Target="http://egov.cityofchicago.org/city/webportal/portalEntityHomeAction.do?BV_SessionID=@@@@1188661879.1059329543@@@@&amp;BV_EngineID=cccdadciligiglmcefecelldffhdffn.0&amp;entityName=Ward19&amp;entityNameEnumValue=64" TargetMode="External"/><Relationship Id="rId37" Type="http://schemas.openxmlformats.org/officeDocument/2006/relationships/hyperlink" Target="http://egov.cityofchicago.org/city/webportal/portalContentItemAction.do?BV_SessionID=@@@@1188661879.1059329543@@@@&amp;BV_EngineID=cccdadciligiglmcefecelldffhdffn.0&amp;contentOID=9454&amp;contenTypeName=COC_EDITORIAL&amp;topChannelName=Government&amp;blockName=Promo+Item&amp;channelId=-536879035&amp;programId=536879154" TargetMode="External"/><Relationship Id="rId40" Type="http://schemas.openxmlformats.org/officeDocument/2006/relationships/hyperlink" Target="http://egov.cityofchicago.org/city/webportal/portalContentItemAction.do?BV_SessionID=@@@@1188661879.1059329543@@@@&amp;BV_EngineID=cccdadciligiglmcefecelldffhdffn.0&amp;contentOID=9451&amp;contenTypeName=COC_EDITORIAL&amp;topChannelName=Government&amp;blockName=Promo+Item&amp;channelId=-536879035&amp;programId=536879154" TargetMode="External"/><Relationship Id="rId45" Type="http://schemas.openxmlformats.org/officeDocument/2006/relationships/hyperlink" Target="http://egov.cityofchicago.org/city/webportal/portalContentItemAction.do?BV_SessionID=@@@@1188661879.1059329543@@@@&amp;BV_EngineID=cccdadciligiglmcefecelldffhdffn.0&amp;contentOID=9489&amp;contenTypeName=COC_EDITORIAL&amp;topChannelName=Government&amp;blockName=Promo+Item&amp;channelId=-536879035&amp;programId=536879154" TargetMode="External"/><Relationship Id="rId5" Type="http://schemas.openxmlformats.org/officeDocument/2006/relationships/hyperlink" Target="http://egov.cityofchicago.org/city/webportal/portalContentItemAction.do?BV_SessionID=@@@@1188661879.1059329543@@@@&amp;BV_EngineID=cccdadciligiglmcefecelldffhdffn.0&amp;contentOID=11019&amp;contenTypeName=COC_EDITORIAL&amp;topChannelName=Government&amp;blockName=Promo+Item&amp;channelId=-536879035&amp;programId=536879154" TargetMode="External"/><Relationship Id="rId15" Type="http://schemas.openxmlformats.org/officeDocument/2006/relationships/hyperlink" Target="http://egov.cityofchicago.org/city/webportal/portalContentItemAction.do?BV_SessionID=@@@@1188661879.1059329543@@@@&amp;BV_EngineID=cccdadciligiglmcefecelldffhdffn.0&amp;contentOID=9478&amp;contenTypeName=COC_EDITORIAL&amp;topChannelName=Government&amp;blockName=Promo+Item&amp;channelId=-536879035&amp;programId=536879154" TargetMode="External"/><Relationship Id="rId23" Type="http://schemas.openxmlformats.org/officeDocument/2006/relationships/hyperlink" Target="http://egov.cityofchicago.org/city/webportal/portalContentItemAction.do?BV_SessionID=@@@@1188661879.1059329543@@@@&amp;BV_EngineID=cccdadciligiglmcefecelldffhdffn.0&amp;contentOID=9469&amp;contenTypeName=COC_EDITORIAL&amp;topChannelName=Government&amp;blockName=Promo+Item&amp;channelId=-536879035&amp;programId=536879154" TargetMode="External"/><Relationship Id="rId28" Type="http://schemas.openxmlformats.org/officeDocument/2006/relationships/hyperlink" Target="http://egov.cityofchicago.org/city/webportal/portalContentItemAction.do?BV_SessionID=@@@@1188661879.1059329543@@@@&amp;BV_EngineID=cccdadciligiglmcefecelldffhdffn.0&amp;contentOID=9464&amp;contenTypeName=COC_EDITORIAL&amp;topChannelName=Government&amp;blockName=Promo+Item&amp;channelId=-536879035&amp;programId=536879154" TargetMode="External"/><Relationship Id="rId36" Type="http://schemas.openxmlformats.org/officeDocument/2006/relationships/hyperlink" Target="http://egov.cityofchicago.org/city/webportal/portalContentItemAction.do?BV_SessionID=@@@@1188661879.1059329543@@@@&amp;BV_EngineID=cccdadciligiglmcefecelldffhdffn.0&amp;contentOID=9455&amp;contenTypeName=COC_EDITORIAL&amp;topChannelName=Government&amp;blockName=Promo+Item&amp;channelId=-536879035&amp;programId=536879154" TargetMode="External"/><Relationship Id="rId10" Type="http://schemas.openxmlformats.org/officeDocument/2006/relationships/hyperlink" Target="http://egov.cityofchicago.org/city/webportal/portalContentItemAction.do?BV_SessionID=@@@@1188661879.1059329543@@@@&amp;BV_EngineID=cccdadciligiglmcefecelldffhdffn.0&amp;contentOID=9484&amp;contenTypeName=COC_EDITORIAL&amp;topChannelName=Government&amp;blockName=Promo+Item&amp;channelId=-536879035&amp;programId=536879154" TargetMode="External"/><Relationship Id="rId19" Type="http://schemas.openxmlformats.org/officeDocument/2006/relationships/hyperlink" Target="http://egov.cityofchicago.org/city/webportal/portalContentItemAction.do?BV_SessionID=@@@@1188661879.1059329543@@@@&amp;BV_EngineID=cccdadciligiglmcefecelldffhdffn.0&amp;contentOID=9474&amp;contenTypeName=COC_EDITORIAL&amp;topChannelName=Government&amp;blockName=Promo+Item&amp;channelId=-536879035&amp;programId=536879154" TargetMode="External"/><Relationship Id="rId31" Type="http://schemas.openxmlformats.org/officeDocument/2006/relationships/hyperlink" Target="http://egov.cityofchicago.org/city/webportal/portalContentItemAction.do?BV_SessionID=@@@@1188661879.1059329543@@@@&amp;BV_EngineID=cccdadciligiglmcefecelldffhdffn.0&amp;contentOID=9461&amp;contenTypeName=COC_EDITORIAL&amp;topChannelName=Government&amp;blockName=Promo+Item&amp;channelId=-536879035&amp;programId=536879154" TargetMode="External"/><Relationship Id="rId44" Type="http://schemas.openxmlformats.org/officeDocument/2006/relationships/hyperlink" Target="http://egov.cityofchicago.org/city/webportal/portalContentItemAction.do?BV_SessionID=@@@@1188661879.1059329543@@@@&amp;BV_EngineID=cccdadciligiglmcefecelldffhdffn.0&amp;contentOID=9490&amp;contenTypeName=COC_EDITORIAL&amp;topChannelName=Government&amp;blockName=Promo+Item&amp;channelId=-536879035&amp;programId=536879154" TargetMode="External"/><Relationship Id="rId4" Type="http://schemas.openxmlformats.org/officeDocument/2006/relationships/hyperlink" Target="http://egov.cityofchicago.org/city/webportal/portalContentItemAction.do?BV_SessionID=@@@@1188661879.1059329543@@@@&amp;BV_EngineID=cccdadciligiglmcefecelldffhdffn.0&amp;contentOID=536882920&amp;contenTypeName=COC_EDITORIAL&amp;topChannelName=Government&amp;blockName=Promo+Item&amp;channelId=-536879035&amp;programId=536879154" TargetMode="External"/><Relationship Id="rId9" Type="http://schemas.openxmlformats.org/officeDocument/2006/relationships/hyperlink" Target="http://egov.cityofchicago.org/city/webportal/portalContentItemAction.do?BV_SessionID=@@@@1188661879.1059329543@@@@&amp;BV_EngineID=cccdadciligiglmcefecelldffhdffn.0&amp;contentOID=9485&amp;contenTypeName=COC_EDITORIAL&amp;topChannelName=Government&amp;blockName=Promo+Item&amp;channelId=-536879035&amp;programId=536879154" TargetMode="External"/><Relationship Id="rId14" Type="http://schemas.openxmlformats.org/officeDocument/2006/relationships/hyperlink" Target="http://egov.cityofchicago.org/city/webportal/portalContentItemAction.do?BV_SessionID=@@@@1188661879.1059329543@@@@&amp;BV_EngineID=cccdadciligiglmcefecelldffhdffn.0&amp;contentOID=9479&amp;contenTypeName=COC_EDITORIAL&amp;topChannelName=Government&amp;blockName=Promo+Item&amp;channelId=-536879035&amp;programId=536879154" TargetMode="External"/><Relationship Id="rId22" Type="http://schemas.openxmlformats.org/officeDocument/2006/relationships/hyperlink" Target="http://egov.cityofchicago.org/city/webportal/portalContentItemAction.do?BV_SessionID=@@@@1188661879.1059329543@@@@&amp;BV_EngineID=cccdadciligiglmcefecelldffhdffn.0&amp;contentOID=9470&amp;contenTypeName=COC_EDITORIAL&amp;topChannelName=Government&amp;blockName=Promo+Item&amp;channelId=-536879035&amp;programId=536879154" TargetMode="External"/><Relationship Id="rId27" Type="http://schemas.openxmlformats.org/officeDocument/2006/relationships/hyperlink" Target="http://egov.cityofchicago.org/city/webportal/portalContentItemAction.do?BV_SessionID=@@@@1188661879.1059329543@@@@&amp;BV_EngineID=cccdadciligiglmcefecelldffhdffn.0&amp;contentOID=9465&amp;contenTypeName=COC_EDITORIAL&amp;topChannelName=Government&amp;blockName=Promo+Item&amp;channelId=-536879035&amp;programId=536879154" TargetMode="External"/><Relationship Id="rId30" Type="http://schemas.openxmlformats.org/officeDocument/2006/relationships/hyperlink" Target="http://egov.cityofchicago.org/city/webportal/portalContentItemAction.do?BV_SessionID=@@@@1188661879.1059329543@@@@&amp;BV_EngineID=cccdadciligiglmcefecelldffhdffn.0&amp;contentOID=9462&amp;contenTypeName=COC_EDITORIAL&amp;topChannelName=Government&amp;blockName=Promo+Item&amp;channelId=-536879035&amp;programId=536879154" TargetMode="External"/><Relationship Id="rId35" Type="http://schemas.openxmlformats.org/officeDocument/2006/relationships/hyperlink" Target="http://egov.cityofchicago.org/city/webportal/portalContentItemAction.do?BV_SessionID=@@@@1188661879.1059329543@@@@&amp;BV_EngineID=cccdadciligiglmcefecelldffhdffn.0&amp;contentOID=9456&amp;contenTypeName=COC_EDITORIAL&amp;topChannelName=Government&amp;blockName=Promo+Item&amp;channelId=-536879035&amp;programId=536879154" TargetMode="External"/><Relationship Id="rId43" Type="http://schemas.openxmlformats.org/officeDocument/2006/relationships/hyperlink" Target="http://egov.cityofchicago.org/city/webportal/portalContentItemAction.do?BV_SessionID=@@@@1188661879.1059329543@@@@&amp;BV_EngineID=cccdadciligiglmcefecelldffhdffn.0&amp;contentOID=9491&amp;contenTypeName=COC_EDITORIAL&amp;topChannelName=Government&amp;blockName=Promo+Item&amp;channelId=-536879035&amp;programId=53687915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1"/>
  <sheetViews>
    <sheetView zoomScale="90" zoomScaleNormal="90" workbookViewId="0">
      <selection activeCell="A4" sqref="A4"/>
    </sheetView>
  </sheetViews>
  <sheetFormatPr defaultColWidth="9" defaultRowHeight="12.75"/>
  <cols>
    <col min="1" max="1" width="19.140625" style="984" customWidth="1"/>
    <col min="2" max="2" width="27" style="984" customWidth="1"/>
    <col min="3" max="3" width="37.28515625" style="984" customWidth="1"/>
    <col min="4" max="4" width="11.42578125" style="985" customWidth="1"/>
    <col min="5" max="5" width="16.42578125" style="984" customWidth="1"/>
    <col min="6" max="6" width="12.28515625" style="984" customWidth="1"/>
    <col min="7" max="7" width="9" style="984"/>
    <col min="8" max="8" width="9.28515625" style="984" bestFit="1" customWidth="1"/>
    <col min="9" max="9" width="14.28515625" style="984" customWidth="1"/>
    <col min="10" max="10" width="12.85546875" style="984" customWidth="1"/>
    <col min="11" max="11" width="11.42578125" style="984" bestFit="1" customWidth="1"/>
    <col min="12" max="20" width="9.140625" style="984" bestFit="1" customWidth="1"/>
    <col min="21" max="16384" width="9" style="984"/>
  </cols>
  <sheetData>
    <row r="1" spans="1:11">
      <c r="A1" s="983" t="s">
        <v>0</v>
      </c>
      <c r="H1" s="983" t="s">
        <v>1</v>
      </c>
    </row>
    <row r="2" spans="1:11">
      <c r="A2" s="984" t="s">
        <v>2</v>
      </c>
      <c r="B2" s="986" t="str">
        <f>Setup!D7</f>
        <v>Enter Project Name Here</v>
      </c>
      <c r="C2" s="983"/>
      <c r="H2" s="983" t="s">
        <v>3</v>
      </c>
    </row>
    <row r="3" spans="1:11">
      <c r="A3" s="984" t="s">
        <v>4</v>
      </c>
      <c r="B3" s="987">
        <f>Setup!K17</f>
        <v>0</v>
      </c>
      <c r="C3" s="988" t="s">
        <v>5</v>
      </c>
      <c r="H3" s="989"/>
    </row>
    <row r="4" spans="1:11" ht="24.75" customHeight="1">
      <c r="A4" s="990" t="s">
        <v>6</v>
      </c>
      <c r="B4" s="991"/>
      <c r="C4" s="992"/>
      <c r="E4" s="993"/>
      <c r="F4" s="993"/>
    </row>
    <row r="5" spans="1:11">
      <c r="A5" s="984" t="s">
        <v>7</v>
      </c>
      <c r="B5" s="994">
        <v>0.99990000000000001</v>
      </c>
      <c r="C5" s="995"/>
      <c r="E5" s="993"/>
      <c r="F5" s="993"/>
    </row>
    <row r="6" spans="1:11" ht="28.5" customHeight="1">
      <c r="B6" s="996"/>
      <c r="E6" s="1" t="s">
        <v>8</v>
      </c>
      <c r="F6" s="1"/>
    </row>
    <row r="7" spans="1:11" s="990" customFormat="1" ht="63.75">
      <c r="A7" s="997" t="s">
        <v>9</v>
      </c>
      <c r="B7" s="998"/>
      <c r="C7" s="998"/>
      <c r="D7" s="999"/>
      <c r="E7" s="1000" t="s">
        <v>10</v>
      </c>
      <c r="F7" s="1000" t="s">
        <v>11</v>
      </c>
      <c r="H7" s="1000" t="s">
        <v>9</v>
      </c>
      <c r="I7" s="1000" t="s">
        <v>10</v>
      </c>
      <c r="J7" s="1000" t="s">
        <v>12</v>
      </c>
      <c r="K7" s="1000" t="s">
        <v>13</v>
      </c>
    </row>
    <row r="8" spans="1:11">
      <c r="A8" s="1001"/>
      <c r="B8" s="1002"/>
      <c r="C8" s="1002"/>
      <c r="D8" s="1003"/>
      <c r="E8" s="1004"/>
      <c r="F8" s="1004"/>
      <c r="G8" s="1005"/>
      <c r="H8" s="1004"/>
      <c r="I8" s="1004"/>
      <c r="J8" s="1004"/>
      <c r="K8" s="1004"/>
    </row>
    <row r="9" spans="1:11">
      <c r="A9" s="1006"/>
      <c r="B9" s="1007"/>
      <c r="C9" s="1007"/>
      <c r="D9" s="1008"/>
      <c r="E9" s="1009"/>
      <c r="F9" s="1009"/>
      <c r="H9" s="1009"/>
      <c r="I9" s="1009"/>
      <c r="J9" s="1009"/>
      <c r="K9" s="1009"/>
    </row>
    <row r="10" spans="1:11" ht="21.95" customHeight="1">
      <c r="A10" s="1010">
        <v>1</v>
      </c>
      <c r="B10" s="1011" t="s">
        <v>14</v>
      </c>
      <c r="C10" s="1011" t="str">
        <f t="shared" ref="C10:C31" si="0">IF(F10="","",IF($B$4&lt;F10,"After the Placed-in-Service Date:","Before the Placed-in-Service Date:"))</f>
        <v>After the Placed-in-Service Date:</v>
      </c>
      <c r="D10" s="1012">
        <f>ROUND(IF(F10="",0,ABS(F10-B4)/30.5),0)</f>
        <v>1424</v>
      </c>
      <c r="E10" s="1013">
        <v>0</v>
      </c>
      <c r="F10" s="1014">
        <v>43435</v>
      </c>
      <c r="H10" s="1015">
        <v>1</v>
      </c>
      <c r="I10" s="1016">
        <f t="shared" ref="I10:I30" si="1">E10</f>
        <v>0</v>
      </c>
      <c r="J10" s="1017">
        <f>IF(D10=0,E10,IF(F10&lt;$B$4,FV($C$35/12,D10,0,-E10),NPV($C$35/12,I39:I161)))</f>
        <v>0</v>
      </c>
      <c r="K10" s="1017">
        <f t="shared" ref="K10:K30" si="2">-(I10-J10)</f>
        <v>0</v>
      </c>
    </row>
    <row r="11" spans="1:11" ht="21.95" customHeight="1">
      <c r="A11" s="1010">
        <v>2</v>
      </c>
      <c r="B11" s="1011" t="s">
        <v>14</v>
      </c>
      <c r="C11" s="1011" t="str">
        <f t="shared" si="0"/>
        <v/>
      </c>
      <c r="D11" s="1012">
        <f>ROUND(IF(F11="",0,ABS(F11-B4)/30.5),0)</f>
        <v>0</v>
      </c>
      <c r="E11" s="1013"/>
      <c r="F11" s="1014"/>
      <c r="G11" s="1018"/>
      <c r="H11" s="1015">
        <v>2</v>
      </c>
      <c r="I11" s="1016">
        <f t="shared" si="1"/>
        <v>0</v>
      </c>
      <c r="J11" s="1017">
        <f>IF(D11=0,E11,IF(F11&lt;$B$4,FV($C$35/12,D11,0,-E11),NPV($C$35/12,J39:J161)))</f>
        <v>0</v>
      </c>
      <c r="K11" s="1017">
        <f t="shared" si="2"/>
        <v>0</v>
      </c>
    </row>
    <row r="12" spans="1:11" ht="21.95" customHeight="1">
      <c r="A12" s="1010">
        <v>3</v>
      </c>
      <c r="B12" s="1011" t="s">
        <v>14</v>
      </c>
      <c r="C12" s="1011" t="str">
        <f t="shared" si="0"/>
        <v/>
      </c>
      <c r="D12" s="1012">
        <f t="shared" ref="D12:D30" si="3">ROUND(IF(F12="",0,ABS(F12-$B$4)/30.5),0)</f>
        <v>0</v>
      </c>
      <c r="E12" s="1013"/>
      <c r="F12" s="1014"/>
      <c r="H12" s="1015">
        <v>3</v>
      </c>
      <c r="I12" s="1016">
        <f t="shared" si="1"/>
        <v>0</v>
      </c>
      <c r="J12" s="1017">
        <f>IF(D12=0,E12,IF(F12&lt;$B$4,FV($C$35/12,D12,0,-E12),NPV($C$35/12,K39:K161)))</f>
        <v>0</v>
      </c>
      <c r="K12" s="1017">
        <f t="shared" si="2"/>
        <v>0</v>
      </c>
    </row>
    <row r="13" spans="1:11" ht="21.95" customHeight="1">
      <c r="A13" s="1010">
        <v>4</v>
      </c>
      <c r="B13" s="1011" t="s">
        <v>14</v>
      </c>
      <c r="C13" s="1011" t="str">
        <f t="shared" si="0"/>
        <v/>
      </c>
      <c r="D13" s="1012">
        <f t="shared" si="3"/>
        <v>0</v>
      </c>
      <c r="E13" s="1013"/>
      <c r="F13" s="1014"/>
      <c r="H13" s="1015">
        <v>4</v>
      </c>
      <c r="I13" s="1016">
        <f t="shared" si="1"/>
        <v>0</v>
      </c>
      <c r="J13" s="1017">
        <f>IF(D13=0,E13,IF(F13&lt;$B$4,FV($C$35/12,D13,0,-E13),NPV($C$35/12,L39:L161)))</f>
        <v>0</v>
      </c>
      <c r="K13" s="1017">
        <f t="shared" si="2"/>
        <v>0</v>
      </c>
    </row>
    <row r="14" spans="1:11" ht="21.95" customHeight="1">
      <c r="A14" s="1010">
        <v>5</v>
      </c>
      <c r="B14" s="1011" t="s">
        <v>14</v>
      </c>
      <c r="C14" s="1011" t="str">
        <f t="shared" si="0"/>
        <v>After the Placed-in-Service Date:</v>
      </c>
      <c r="D14" s="1012">
        <f t="shared" si="3"/>
        <v>1401</v>
      </c>
      <c r="E14" s="1013">
        <v>0</v>
      </c>
      <c r="F14" s="1014">
        <v>42736</v>
      </c>
      <c r="H14" s="1015">
        <v>5</v>
      </c>
      <c r="I14" s="1016">
        <f t="shared" si="1"/>
        <v>0</v>
      </c>
      <c r="J14" s="1017">
        <f>IF(D14=0,E14,IF(F14&lt;$B$4,FV($C$35/12,D14,0,-E14),NPV($C$35/12,M39:M161)))</f>
        <v>0</v>
      </c>
      <c r="K14" s="1017">
        <f t="shared" si="2"/>
        <v>0</v>
      </c>
    </row>
    <row r="15" spans="1:11" ht="21.95" customHeight="1">
      <c r="A15" s="1010">
        <v>6</v>
      </c>
      <c r="B15" s="1011" t="s">
        <v>14</v>
      </c>
      <c r="C15" s="1011" t="str">
        <f t="shared" si="0"/>
        <v/>
      </c>
      <c r="D15" s="1012">
        <f t="shared" si="3"/>
        <v>0</v>
      </c>
      <c r="E15" s="1013"/>
      <c r="F15" s="1014"/>
      <c r="H15" s="1015">
        <v>6</v>
      </c>
      <c r="I15" s="1016">
        <f t="shared" si="1"/>
        <v>0</v>
      </c>
      <c r="J15" s="1017">
        <f>IF(D15=0,E15,IF(F15&lt;$B$4,FV($C$35/12,D15,0,-E15),NPV($C$35/12,N39:N161)))</f>
        <v>0</v>
      </c>
      <c r="K15" s="1017">
        <f t="shared" si="2"/>
        <v>0</v>
      </c>
    </row>
    <row r="16" spans="1:11" ht="21.95" customHeight="1">
      <c r="A16" s="1010">
        <v>7</v>
      </c>
      <c r="B16" s="1011" t="s">
        <v>14</v>
      </c>
      <c r="C16" s="1011" t="str">
        <f t="shared" si="0"/>
        <v/>
      </c>
      <c r="D16" s="1012">
        <f t="shared" si="3"/>
        <v>0</v>
      </c>
      <c r="E16" s="1013">
        <v>0</v>
      </c>
      <c r="F16" s="1014"/>
      <c r="H16" s="1015">
        <v>7</v>
      </c>
      <c r="I16" s="1016">
        <f t="shared" si="1"/>
        <v>0</v>
      </c>
      <c r="J16" s="1017">
        <f>IF(D16=0,E16,IF(F16&lt;$B$4,FV($C$35/12,D16,0,-E16),NPV($C$35/12,O39:O161)))</f>
        <v>0</v>
      </c>
      <c r="K16" s="1017">
        <f t="shared" si="2"/>
        <v>0</v>
      </c>
    </row>
    <row r="17" spans="1:11" ht="21.95" customHeight="1">
      <c r="A17" s="1010">
        <v>8</v>
      </c>
      <c r="B17" s="1011" t="s">
        <v>14</v>
      </c>
      <c r="C17" s="1011" t="str">
        <f t="shared" si="0"/>
        <v/>
      </c>
      <c r="D17" s="1012">
        <f t="shared" si="3"/>
        <v>0</v>
      </c>
      <c r="E17" s="1013">
        <v>0</v>
      </c>
      <c r="F17" s="1014"/>
      <c r="H17" s="1015">
        <v>8</v>
      </c>
      <c r="I17" s="1016">
        <f t="shared" si="1"/>
        <v>0</v>
      </c>
      <c r="J17" s="1017">
        <f>IF(D17=0,E17,IF(F17&lt;$B$4,FV($C$35/12,D17,0,-E17),NPV($C$35/12,P39:P161)))</f>
        <v>0</v>
      </c>
      <c r="K17" s="1017">
        <f t="shared" si="2"/>
        <v>0</v>
      </c>
    </row>
    <row r="18" spans="1:11" ht="21.95" customHeight="1">
      <c r="A18" s="1010">
        <v>9</v>
      </c>
      <c r="B18" s="1011" t="s">
        <v>14</v>
      </c>
      <c r="C18" s="1011" t="str">
        <f t="shared" si="0"/>
        <v/>
      </c>
      <c r="D18" s="1012">
        <f t="shared" si="3"/>
        <v>0</v>
      </c>
      <c r="E18" s="1013"/>
      <c r="F18" s="1019"/>
      <c r="H18" s="1015">
        <v>9</v>
      </c>
      <c r="I18" s="1016">
        <f t="shared" si="1"/>
        <v>0</v>
      </c>
      <c r="J18" s="1017">
        <f>IF(D18=0,E18,IF(F18&lt;$B$4,FV($C$35/12,D18,0,-E18),NPV($C$35/12,Q39:Q161)))</f>
        <v>0</v>
      </c>
      <c r="K18" s="1017">
        <f t="shared" si="2"/>
        <v>0</v>
      </c>
    </row>
    <row r="19" spans="1:11" ht="21.95" customHeight="1">
      <c r="A19" s="1010">
        <v>10</v>
      </c>
      <c r="B19" s="1011" t="s">
        <v>14</v>
      </c>
      <c r="C19" s="1011" t="str">
        <f t="shared" si="0"/>
        <v/>
      </c>
      <c r="D19" s="1012">
        <f t="shared" si="3"/>
        <v>0</v>
      </c>
      <c r="E19" s="1013"/>
      <c r="F19" s="1019"/>
      <c r="H19" s="1015">
        <v>10</v>
      </c>
      <c r="I19" s="1016">
        <f t="shared" si="1"/>
        <v>0</v>
      </c>
      <c r="J19" s="1017">
        <f>IF(D19=0,E19,IF(F19&lt;$B$4,FV($C$35/12,D19,0,-E19),NPV($C$35/12,R39:R161)))</f>
        <v>0</v>
      </c>
      <c r="K19" s="1017">
        <f t="shared" si="2"/>
        <v>0</v>
      </c>
    </row>
    <row r="20" spans="1:11" ht="21.95" customHeight="1">
      <c r="A20" s="1010">
        <v>11</v>
      </c>
      <c r="B20" s="1011" t="s">
        <v>14</v>
      </c>
      <c r="C20" s="1011" t="str">
        <f t="shared" si="0"/>
        <v/>
      </c>
      <c r="D20" s="1012">
        <f t="shared" si="3"/>
        <v>0</v>
      </c>
      <c r="E20" s="1013">
        <v>0</v>
      </c>
      <c r="F20" s="1019"/>
      <c r="H20" s="1015">
        <v>11</v>
      </c>
      <c r="I20" s="1016">
        <f t="shared" si="1"/>
        <v>0</v>
      </c>
      <c r="J20" s="1017">
        <f>IF(D20=0,E20,IF(F20&lt;$B$4,FV($C$35/12,D20,0,-E20),NPV($C$35/12,S39:S161)))</f>
        <v>0</v>
      </c>
      <c r="K20" s="1017">
        <f t="shared" si="2"/>
        <v>0</v>
      </c>
    </row>
    <row r="21" spans="1:11" ht="21.95" customHeight="1">
      <c r="A21" s="1010">
        <v>12</v>
      </c>
      <c r="B21" s="1011" t="s">
        <v>14</v>
      </c>
      <c r="C21" s="1011" t="str">
        <f t="shared" si="0"/>
        <v/>
      </c>
      <c r="D21" s="1012">
        <f t="shared" si="3"/>
        <v>0</v>
      </c>
      <c r="E21" s="1013"/>
      <c r="F21" s="1019"/>
      <c r="H21" s="1015">
        <v>12</v>
      </c>
      <c r="I21" s="1016">
        <f t="shared" si="1"/>
        <v>0</v>
      </c>
      <c r="J21" s="1017">
        <f>IF(D21=0,E21,IF(F21&lt;$B$4,FV($C$35/12,D21,0,-E21),NPV($C$35/12,T38:T160)))</f>
        <v>0</v>
      </c>
      <c r="K21" s="1017">
        <f t="shared" si="2"/>
        <v>0</v>
      </c>
    </row>
    <row r="22" spans="1:11" ht="21.95" customHeight="1">
      <c r="A22" s="1010">
        <v>13</v>
      </c>
      <c r="B22" s="1011" t="s">
        <v>14</v>
      </c>
      <c r="C22" s="1011" t="str">
        <f t="shared" si="0"/>
        <v/>
      </c>
      <c r="D22" s="1012">
        <f t="shared" si="3"/>
        <v>0</v>
      </c>
      <c r="E22" s="1013">
        <v>0</v>
      </c>
      <c r="F22" s="1019"/>
      <c r="H22" s="1015">
        <v>12</v>
      </c>
      <c r="I22" s="1016">
        <f t="shared" si="1"/>
        <v>0</v>
      </c>
      <c r="J22" s="1017">
        <f>IF(D22=0,E22,IF(F22&lt;$B$4,FV($C$35/12,D22,0,-E22),NPV($C$35/12,T38:T160)))</f>
        <v>0</v>
      </c>
      <c r="K22" s="1017">
        <f t="shared" si="2"/>
        <v>0</v>
      </c>
    </row>
    <row r="23" spans="1:11" ht="21.95" customHeight="1">
      <c r="A23" s="1010">
        <v>14</v>
      </c>
      <c r="B23" s="1011" t="s">
        <v>14</v>
      </c>
      <c r="C23" s="1011" t="str">
        <f t="shared" si="0"/>
        <v/>
      </c>
      <c r="D23" s="1012">
        <f t="shared" si="3"/>
        <v>0</v>
      </c>
      <c r="E23" s="1013"/>
      <c r="F23" s="1019"/>
      <c r="H23" s="1015">
        <v>12</v>
      </c>
      <c r="I23" s="1016">
        <f t="shared" si="1"/>
        <v>0</v>
      </c>
      <c r="J23" s="1017">
        <f t="shared" ref="J23:J30" si="4">IF(D23=0,E23,IF(F23&lt;$B$4,FV($C$35/12,D23,0,-E23),NPV($C$35/12,T32:T154)))</f>
        <v>0</v>
      </c>
      <c r="K23" s="1017">
        <f t="shared" si="2"/>
        <v>0</v>
      </c>
    </row>
    <row r="24" spans="1:11" ht="21.95" customHeight="1">
      <c r="A24" s="1010">
        <f t="shared" ref="A24:A30" si="5">+A23+1</f>
        <v>15</v>
      </c>
      <c r="B24" s="1011" t="s">
        <v>14</v>
      </c>
      <c r="C24" s="1011" t="str">
        <f t="shared" si="0"/>
        <v/>
      </c>
      <c r="D24" s="1012">
        <f t="shared" si="3"/>
        <v>0</v>
      </c>
      <c r="E24" s="1013"/>
      <c r="F24" s="1019"/>
      <c r="H24" s="1015">
        <v>12</v>
      </c>
      <c r="I24" s="1016">
        <f t="shared" si="1"/>
        <v>0</v>
      </c>
      <c r="J24" s="1017">
        <f t="shared" si="4"/>
        <v>0</v>
      </c>
      <c r="K24" s="1017">
        <f t="shared" si="2"/>
        <v>0</v>
      </c>
    </row>
    <row r="25" spans="1:11" ht="21.95" customHeight="1">
      <c r="A25" s="1010">
        <f t="shared" si="5"/>
        <v>16</v>
      </c>
      <c r="B25" s="1011" t="s">
        <v>14</v>
      </c>
      <c r="C25" s="1011" t="str">
        <f t="shared" si="0"/>
        <v/>
      </c>
      <c r="D25" s="1012">
        <f t="shared" si="3"/>
        <v>0</v>
      </c>
      <c r="E25" s="1013"/>
      <c r="F25" s="1019"/>
      <c r="H25" s="1015">
        <v>12</v>
      </c>
      <c r="I25" s="1016">
        <f t="shared" si="1"/>
        <v>0</v>
      </c>
      <c r="J25" s="1017">
        <f t="shared" si="4"/>
        <v>0</v>
      </c>
      <c r="K25" s="1017">
        <f t="shared" si="2"/>
        <v>0</v>
      </c>
    </row>
    <row r="26" spans="1:11" ht="21.95" customHeight="1">
      <c r="A26" s="1010">
        <f t="shared" si="5"/>
        <v>17</v>
      </c>
      <c r="B26" s="1011" t="s">
        <v>14</v>
      </c>
      <c r="C26" s="1011" t="str">
        <f t="shared" si="0"/>
        <v/>
      </c>
      <c r="D26" s="1012">
        <f t="shared" si="3"/>
        <v>0</v>
      </c>
      <c r="E26" s="1013"/>
      <c r="F26" s="1019"/>
      <c r="H26" s="1015">
        <v>12</v>
      </c>
      <c r="I26" s="1016">
        <f t="shared" si="1"/>
        <v>0</v>
      </c>
      <c r="J26" s="1017">
        <f t="shared" si="4"/>
        <v>0</v>
      </c>
      <c r="K26" s="1017">
        <f t="shared" si="2"/>
        <v>0</v>
      </c>
    </row>
    <row r="27" spans="1:11" ht="21.95" customHeight="1">
      <c r="A27" s="1010">
        <f t="shared" si="5"/>
        <v>18</v>
      </c>
      <c r="B27" s="1011" t="s">
        <v>14</v>
      </c>
      <c r="C27" s="1011" t="str">
        <f t="shared" si="0"/>
        <v/>
      </c>
      <c r="D27" s="1012">
        <f t="shared" si="3"/>
        <v>0</v>
      </c>
      <c r="E27" s="1013">
        <v>0</v>
      </c>
      <c r="F27" s="1019"/>
      <c r="H27" s="1015">
        <v>12</v>
      </c>
      <c r="I27" s="1016">
        <f t="shared" si="1"/>
        <v>0</v>
      </c>
      <c r="J27" s="1017">
        <f t="shared" si="4"/>
        <v>0</v>
      </c>
      <c r="K27" s="1017">
        <f t="shared" si="2"/>
        <v>0</v>
      </c>
    </row>
    <row r="28" spans="1:11" ht="21.95" customHeight="1">
      <c r="A28" s="1010">
        <f t="shared" si="5"/>
        <v>19</v>
      </c>
      <c r="B28" s="1011" t="s">
        <v>14</v>
      </c>
      <c r="C28" s="1011" t="str">
        <f t="shared" si="0"/>
        <v/>
      </c>
      <c r="D28" s="1012">
        <f t="shared" si="3"/>
        <v>0</v>
      </c>
      <c r="E28" s="1013"/>
      <c r="F28" s="1019"/>
      <c r="H28" s="1015">
        <v>12</v>
      </c>
      <c r="I28" s="1016">
        <f t="shared" si="1"/>
        <v>0</v>
      </c>
      <c r="J28" s="1017">
        <f t="shared" si="4"/>
        <v>0</v>
      </c>
      <c r="K28" s="1017">
        <f t="shared" si="2"/>
        <v>0</v>
      </c>
    </row>
    <row r="29" spans="1:11" ht="21.95" customHeight="1">
      <c r="A29" s="1010">
        <f t="shared" si="5"/>
        <v>20</v>
      </c>
      <c r="B29" s="1011" t="s">
        <v>14</v>
      </c>
      <c r="C29" s="1011" t="str">
        <f t="shared" si="0"/>
        <v/>
      </c>
      <c r="D29" s="1012">
        <f t="shared" si="3"/>
        <v>0</v>
      </c>
      <c r="E29" s="1013"/>
      <c r="F29" s="1019"/>
      <c r="H29" s="1015">
        <v>12</v>
      </c>
      <c r="I29" s="1016">
        <f t="shared" si="1"/>
        <v>0</v>
      </c>
      <c r="J29" s="1017">
        <f t="shared" si="4"/>
        <v>0</v>
      </c>
      <c r="K29" s="1017">
        <f t="shared" si="2"/>
        <v>0</v>
      </c>
    </row>
    <row r="30" spans="1:11" ht="21.95" customHeight="1">
      <c r="A30" s="1010">
        <f t="shared" si="5"/>
        <v>21</v>
      </c>
      <c r="B30" s="1011" t="s">
        <v>14</v>
      </c>
      <c r="C30" s="1011" t="str">
        <f t="shared" si="0"/>
        <v/>
      </c>
      <c r="D30" s="1012">
        <f t="shared" si="3"/>
        <v>0</v>
      </c>
      <c r="E30" s="1013">
        <v>0</v>
      </c>
      <c r="F30" s="1019"/>
      <c r="H30" s="1015">
        <v>12</v>
      </c>
      <c r="I30" s="1016">
        <f t="shared" si="1"/>
        <v>0</v>
      </c>
      <c r="J30" s="1017">
        <f t="shared" si="4"/>
        <v>0</v>
      </c>
      <c r="K30" s="1017">
        <f t="shared" si="2"/>
        <v>0</v>
      </c>
    </row>
    <row r="31" spans="1:11" ht="21.95" customHeight="1">
      <c r="A31" s="1010"/>
      <c r="B31" s="1011"/>
      <c r="C31" s="1011" t="str">
        <f t="shared" si="0"/>
        <v/>
      </c>
      <c r="D31" s="1020"/>
      <c r="E31" s="1021"/>
      <c r="F31" s="1022"/>
      <c r="H31" s="1015"/>
      <c r="I31" s="1016"/>
      <c r="J31" s="1017"/>
      <c r="K31" s="1017"/>
    </row>
    <row r="32" spans="1:11" ht="21.95" customHeight="1">
      <c r="A32" s="1015" t="s">
        <v>15</v>
      </c>
      <c r="B32" s="1023"/>
      <c r="C32" s="1011"/>
      <c r="D32" s="1020"/>
      <c r="E32" s="1024">
        <f>SUM(E10:E31)</f>
        <v>0</v>
      </c>
      <c r="F32" s="1015"/>
      <c r="H32" s="1015" t="s">
        <v>16</v>
      </c>
      <c r="I32" s="1024">
        <f>SUM(I10:I31)</f>
        <v>0</v>
      </c>
      <c r="J32" s="1025">
        <f>SUM(J10:J31)</f>
        <v>0</v>
      </c>
      <c r="K32" s="1025">
        <f>SUM(K10:K31)</f>
        <v>0</v>
      </c>
    </row>
    <row r="34" spans="1:20">
      <c r="K34" s="1026"/>
    </row>
    <row r="35" spans="1:20">
      <c r="A35" s="984" t="s">
        <v>17</v>
      </c>
      <c r="C35" s="1077">
        <v>0</v>
      </c>
    </row>
    <row r="36" spans="1:20">
      <c r="A36" s="984" t="s">
        <v>18</v>
      </c>
      <c r="C36" s="1078">
        <v>0</v>
      </c>
    </row>
    <row r="37" spans="1:20">
      <c r="H37" s="984" t="s">
        <v>19</v>
      </c>
      <c r="I37" s="984">
        <v>1</v>
      </c>
      <c r="J37" s="984">
        <v>2</v>
      </c>
      <c r="K37" s="984">
        <v>3</v>
      </c>
      <c r="L37" s="984">
        <v>4</v>
      </c>
      <c r="M37" s="984">
        <v>5</v>
      </c>
      <c r="N37" s="984">
        <v>6</v>
      </c>
      <c r="O37" s="984">
        <v>7</v>
      </c>
      <c r="P37" s="984">
        <v>8</v>
      </c>
      <c r="Q37" s="984">
        <v>9</v>
      </c>
      <c r="R37" s="984">
        <v>10</v>
      </c>
      <c r="S37" s="984">
        <v>11</v>
      </c>
      <c r="T37" s="984">
        <v>12</v>
      </c>
    </row>
    <row r="38" spans="1:20">
      <c r="A38" s="983" t="s">
        <v>20</v>
      </c>
      <c r="H38" s="984">
        <v>0</v>
      </c>
      <c r="I38" s="1027">
        <f t="shared" ref="I38:I101" si="6">IF($D$10=H38, $E$10, 0)</f>
        <v>0</v>
      </c>
      <c r="J38" s="1027">
        <f t="shared" ref="J38:J101" si="7">IF($D$11=H38, $E$11, 0)</f>
        <v>0</v>
      </c>
      <c r="K38" s="1027">
        <f t="shared" ref="K38:K101" si="8">IF($D$12=H38, $E$12, 0)</f>
        <v>0</v>
      </c>
      <c r="L38" s="1027">
        <f t="shared" ref="L38:L101" si="9">IF($D$13=H38, $E$13, 0)</f>
        <v>0</v>
      </c>
      <c r="M38" s="1027">
        <f t="shared" ref="M38:M101" si="10">IF($D$14=H38, $E$14, 0)</f>
        <v>0</v>
      </c>
      <c r="N38" s="1027">
        <f t="shared" ref="N38:N101" si="11">IF($D$15=H38, $E$15, 0)</f>
        <v>0</v>
      </c>
      <c r="O38" s="1027">
        <f t="shared" ref="O38:O101" si="12">IF($D$16=H38, $E$16, 0)</f>
        <v>0</v>
      </c>
      <c r="P38" s="1027">
        <f t="shared" ref="P38:P101" si="13">IF($D$17=H38, $E$17, 0)</f>
        <v>0</v>
      </c>
      <c r="Q38" s="1027">
        <f t="shared" ref="Q38:Q101" si="14">IF($D$18=H38, $E$18, 0)</f>
        <v>0</v>
      </c>
      <c r="R38" s="1027">
        <f t="shared" ref="R38:R101" si="15">IF($D$19=H38, $E$19, 0)</f>
        <v>0</v>
      </c>
      <c r="S38" s="1027">
        <f t="shared" ref="S38:S101" si="16">IF($D$20=H38, $E$20, 0)</f>
        <v>0</v>
      </c>
      <c r="T38" s="1027">
        <f t="shared" ref="T38:T101" si="17">IF($D$30=H38, $E$30, 0)</f>
        <v>0</v>
      </c>
    </row>
    <row r="39" spans="1:20">
      <c r="A39" s="984" t="str">
        <f>B2</f>
        <v>Enter Project Name Here</v>
      </c>
      <c r="H39" s="984">
        <v>1</v>
      </c>
      <c r="I39" s="1027">
        <f t="shared" si="6"/>
        <v>0</v>
      </c>
      <c r="J39" s="1027">
        <f t="shared" si="7"/>
        <v>0</v>
      </c>
      <c r="K39" s="1027">
        <f t="shared" si="8"/>
        <v>0</v>
      </c>
      <c r="L39" s="1027">
        <f t="shared" si="9"/>
        <v>0</v>
      </c>
      <c r="M39" s="1027">
        <f t="shared" si="10"/>
        <v>0</v>
      </c>
      <c r="N39" s="1027">
        <f t="shared" si="11"/>
        <v>0</v>
      </c>
      <c r="O39" s="1027">
        <f t="shared" si="12"/>
        <v>0</v>
      </c>
      <c r="P39" s="1027">
        <f t="shared" si="13"/>
        <v>0</v>
      </c>
      <c r="Q39" s="1027">
        <f t="shared" si="14"/>
        <v>0</v>
      </c>
      <c r="R39" s="1027">
        <f t="shared" si="15"/>
        <v>0</v>
      </c>
      <c r="S39" s="1027">
        <f t="shared" si="16"/>
        <v>0</v>
      </c>
      <c r="T39" s="1027">
        <f t="shared" si="17"/>
        <v>0</v>
      </c>
    </row>
    <row r="40" spans="1:20">
      <c r="H40" s="984">
        <v>2</v>
      </c>
      <c r="I40" s="1027">
        <f t="shared" si="6"/>
        <v>0</v>
      </c>
      <c r="J40" s="1027">
        <f t="shared" si="7"/>
        <v>0</v>
      </c>
      <c r="K40" s="1027">
        <f t="shared" si="8"/>
        <v>0</v>
      </c>
      <c r="L40" s="1027">
        <f t="shared" si="9"/>
        <v>0</v>
      </c>
      <c r="M40" s="1027">
        <f t="shared" si="10"/>
        <v>0</v>
      </c>
      <c r="N40" s="1027">
        <f t="shared" si="11"/>
        <v>0</v>
      </c>
      <c r="O40" s="1027">
        <f t="shared" si="12"/>
        <v>0</v>
      </c>
      <c r="P40" s="1027">
        <f t="shared" si="13"/>
        <v>0</v>
      </c>
      <c r="Q40" s="1027">
        <f t="shared" si="14"/>
        <v>0</v>
      </c>
      <c r="R40" s="1027">
        <f t="shared" si="15"/>
        <v>0</v>
      </c>
      <c r="S40" s="1027">
        <f t="shared" si="16"/>
        <v>0</v>
      </c>
      <c r="T40" s="1027">
        <f t="shared" si="17"/>
        <v>0</v>
      </c>
    </row>
    <row r="41" spans="1:20">
      <c r="H41" s="984">
        <v>3</v>
      </c>
      <c r="I41" s="1027">
        <f t="shared" si="6"/>
        <v>0</v>
      </c>
      <c r="J41" s="1027">
        <f t="shared" si="7"/>
        <v>0</v>
      </c>
      <c r="K41" s="1027">
        <f t="shared" si="8"/>
        <v>0</v>
      </c>
      <c r="L41" s="1027">
        <f t="shared" si="9"/>
        <v>0</v>
      </c>
      <c r="M41" s="1027">
        <f t="shared" si="10"/>
        <v>0</v>
      </c>
      <c r="N41" s="1027">
        <f t="shared" si="11"/>
        <v>0</v>
      </c>
      <c r="O41" s="1027">
        <f t="shared" si="12"/>
        <v>0</v>
      </c>
      <c r="P41" s="1027">
        <f t="shared" si="13"/>
        <v>0</v>
      </c>
      <c r="Q41" s="1027">
        <f t="shared" si="14"/>
        <v>0</v>
      </c>
      <c r="R41" s="1027">
        <f t="shared" si="15"/>
        <v>0</v>
      </c>
      <c r="S41" s="1027">
        <f t="shared" si="16"/>
        <v>0</v>
      </c>
      <c r="T41" s="1027">
        <f t="shared" si="17"/>
        <v>0</v>
      </c>
    </row>
    <row r="42" spans="1:20">
      <c r="A42" s="984" t="s">
        <v>21</v>
      </c>
      <c r="H42" s="984">
        <v>4</v>
      </c>
      <c r="I42" s="1027">
        <f t="shared" si="6"/>
        <v>0</v>
      </c>
      <c r="J42" s="1027">
        <f t="shared" si="7"/>
        <v>0</v>
      </c>
      <c r="K42" s="1027">
        <f t="shared" si="8"/>
        <v>0</v>
      </c>
      <c r="L42" s="1027">
        <f t="shared" si="9"/>
        <v>0</v>
      </c>
      <c r="M42" s="1027">
        <f t="shared" si="10"/>
        <v>0</v>
      </c>
      <c r="N42" s="1027">
        <f t="shared" si="11"/>
        <v>0</v>
      </c>
      <c r="O42" s="1027">
        <f t="shared" si="12"/>
        <v>0</v>
      </c>
      <c r="P42" s="1027">
        <f t="shared" si="13"/>
        <v>0</v>
      </c>
      <c r="Q42" s="1027">
        <f t="shared" si="14"/>
        <v>0</v>
      </c>
      <c r="R42" s="1027">
        <f t="shared" si="15"/>
        <v>0</v>
      </c>
      <c r="S42" s="1027">
        <f t="shared" si="16"/>
        <v>0</v>
      </c>
      <c r="T42" s="1027">
        <f t="shared" si="17"/>
        <v>0</v>
      </c>
    </row>
    <row r="43" spans="1:20">
      <c r="E43" s="1028"/>
      <c r="H43" s="984">
        <v>5</v>
      </c>
      <c r="I43" s="1027">
        <f t="shared" si="6"/>
        <v>0</v>
      </c>
      <c r="J43" s="1027">
        <f t="shared" si="7"/>
        <v>0</v>
      </c>
      <c r="K43" s="1027">
        <f t="shared" si="8"/>
        <v>0</v>
      </c>
      <c r="L43" s="1027">
        <f t="shared" si="9"/>
        <v>0</v>
      </c>
      <c r="M43" s="1027">
        <f t="shared" si="10"/>
        <v>0</v>
      </c>
      <c r="N43" s="1027">
        <f t="shared" si="11"/>
        <v>0</v>
      </c>
      <c r="O43" s="1027">
        <f t="shared" si="12"/>
        <v>0</v>
      </c>
      <c r="P43" s="1027">
        <f t="shared" si="13"/>
        <v>0</v>
      </c>
      <c r="Q43" s="1027">
        <f t="shared" si="14"/>
        <v>0</v>
      </c>
      <c r="R43" s="1027">
        <f t="shared" si="15"/>
        <v>0</v>
      </c>
      <c r="S43" s="1027">
        <f t="shared" si="16"/>
        <v>0</v>
      </c>
      <c r="T43" s="1027">
        <f t="shared" si="17"/>
        <v>0</v>
      </c>
    </row>
    <row r="44" spans="1:20">
      <c r="B44" s="984" t="s">
        <v>22</v>
      </c>
      <c r="E44" s="1079">
        <v>0</v>
      </c>
      <c r="H44" s="984">
        <v>6</v>
      </c>
      <c r="I44" s="1027">
        <f t="shared" si="6"/>
        <v>0</v>
      </c>
      <c r="J44" s="1027">
        <f t="shared" si="7"/>
        <v>0</v>
      </c>
      <c r="K44" s="1027">
        <f t="shared" si="8"/>
        <v>0</v>
      </c>
      <c r="L44" s="1027">
        <f t="shared" si="9"/>
        <v>0</v>
      </c>
      <c r="M44" s="1027">
        <f t="shared" si="10"/>
        <v>0</v>
      </c>
      <c r="N44" s="1027">
        <f t="shared" si="11"/>
        <v>0</v>
      </c>
      <c r="O44" s="1027">
        <f t="shared" si="12"/>
        <v>0</v>
      </c>
      <c r="P44" s="1027">
        <f t="shared" si="13"/>
        <v>0</v>
      </c>
      <c r="Q44" s="1027">
        <f t="shared" si="14"/>
        <v>0</v>
      </c>
      <c r="R44" s="1027">
        <f t="shared" si="15"/>
        <v>0</v>
      </c>
      <c r="S44" s="1027">
        <f t="shared" si="16"/>
        <v>0</v>
      </c>
      <c r="T44" s="1027">
        <f t="shared" si="17"/>
        <v>0</v>
      </c>
    </row>
    <row r="45" spans="1:20">
      <c r="B45" s="984" t="s">
        <v>23</v>
      </c>
      <c r="E45" s="1079">
        <v>0</v>
      </c>
      <c r="H45" s="984">
        <v>7</v>
      </c>
      <c r="I45" s="1027">
        <f t="shared" si="6"/>
        <v>0</v>
      </c>
      <c r="J45" s="1027">
        <f t="shared" si="7"/>
        <v>0</v>
      </c>
      <c r="K45" s="1027">
        <f t="shared" si="8"/>
        <v>0</v>
      </c>
      <c r="L45" s="1027">
        <f t="shared" si="9"/>
        <v>0</v>
      </c>
      <c r="M45" s="1027">
        <f t="shared" si="10"/>
        <v>0</v>
      </c>
      <c r="N45" s="1027">
        <f t="shared" si="11"/>
        <v>0</v>
      </c>
      <c r="O45" s="1027">
        <f t="shared" si="12"/>
        <v>0</v>
      </c>
      <c r="P45" s="1027">
        <f t="shared" si="13"/>
        <v>0</v>
      </c>
      <c r="Q45" s="1027">
        <f t="shared" si="14"/>
        <v>0</v>
      </c>
      <c r="R45" s="1027">
        <f t="shared" si="15"/>
        <v>0</v>
      </c>
      <c r="S45" s="1027">
        <f t="shared" si="16"/>
        <v>0</v>
      </c>
      <c r="T45" s="1027">
        <f t="shared" si="17"/>
        <v>0</v>
      </c>
    </row>
    <row r="46" spans="1:20">
      <c r="B46" s="984" t="s">
        <v>24</v>
      </c>
      <c r="E46" s="1079">
        <v>0</v>
      </c>
      <c r="H46" s="984">
        <v>8</v>
      </c>
      <c r="I46" s="1027">
        <f t="shared" si="6"/>
        <v>0</v>
      </c>
      <c r="J46" s="1027">
        <f t="shared" si="7"/>
        <v>0</v>
      </c>
      <c r="K46" s="1027">
        <f t="shared" si="8"/>
        <v>0</v>
      </c>
      <c r="L46" s="1027">
        <f t="shared" si="9"/>
        <v>0</v>
      </c>
      <c r="M46" s="1027">
        <f t="shared" si="10"/>
        <v>0</v>
      </c>
      <c r="N46" s="1027">
        <f t="shared" si="11"/>
        <v>0</v>
      </c>
      <c r="O46" s="1027">
        <f t="shared" si="12"/>
        <v>0</v>
      </c>
      <c r="P46" s="1027">
        <f t="shared" si="13"/>
        <v>0</v>
      </c>
      <c r="Q46" s="1027">
        <f t="shared" si="14"/>
        <v>0</v>
      </c>
      <c r="R46" s="1027">
        <f t="shared" si="15"/>
        <v>0</v>
      </c>
      <c r="S46" s="1027">
        <f t="shared" si="16"/>
        <v>0</v>
      </c>
      <c r="T46" s="1027">
        <f t="shared" si="17"/>
        <v>0</v>
      </c>
    </row>
    <row r="47" spans="1:20">
      <c r="B47" s="984" t="s">
        <v>25</v>
      </c>
      <c r="E47" s="1079">
        <v>0</v>
      </c>
      <c r="H47" s="984">
        <v>9</v>
      </c>
      <c r="I47" s="1027">
        <f t="shared" si="6"/>
        <v>0</v>
      </c>
      <c r="J47" s="1027">
        <f t="shared" si="7"/>
        <v>0</v>
      </c>
      <c r="K47" s="1027">
        <f t="shared" si="8"/>
        <v>0</v>
      </c>
      <c r="L47" s="1027">
        <f t="shared" si="9"/>
        <v>0</v>
      </c>
      <c r="M47" s="1027">
        <f t="shared" si="10"/>
        <v>0</v>
      </c>
      <c r="N47" s="1027">
        <f t="shared" si="11"/>
        <v>0</v>
      </c>
      <c r="O47" s="1027">
        <f t="shared" si="12"/>
        <v>0</v>
      </c>
      <c r="P47" s="1027">
        <f t="shared" si="13"/>
        <v>0</v>
      </c>
      <c r="Q47" s="1027">
        <f t="shared" si="14"/>
        <v>0</v>
      </c>
      <c r="R47" s="1027">
        <f t="shared" si="15"/>
        <v>0</v>
      </c>
      <c r="S47" s="1027">
        <f t="shared" si="16"/>
        <v>0</v>
      </c>
      <c r="T47" s="1027">
        <f t="shared" si="17"/>
        <v>0</v>
      </c>
    </row>
    <row r="48" spans="1:20">
      <c r="B48" s="984" t="s">
        <v>26</v>
      </c>
      <c r="E48" s="1079">
        <v>0</v>
      </c>
      <c r="H48" s="984">
        <v>10</v>
      </c>
      <c r="I48" s="1027">
        <f t="shared" si="6"/>
        <v>0</v>
      </c>
      <c r="J48" s="1027">
        <f t="shared" si="7"/>
        <v>0</v>
      </c>
      <c r="K48" s="1027">
        <f t="shared" si="8"/>
        <v>0</v>
      </c>
      <c r="L48" s="1027">
        <f t="shared" si="9"/>
        <v>0</v>
      </c>
      <c r="M48" s="1027">
        <f t="shared" si="10"/>
        <v>0</v>
      </c>
      <c r="N48" s="1027">
        <f t="shared" si="11"/>
        <v>0</v>
      </c>
      <c r="O48" s="1027">
        <f t="shared" si="12"/>
        <v>0</v>
      </c>
      <c r="P48" s="1027">
        <f t="shared" si="13"/>
        <v>0</v>
      </c>
      <c r="Q48" s="1027">
        <f t="shared" si="14"/>
        <v>0</v>
      </c>
      <c r="R48" s="1027">
        <f t="shared" si="15"/>
        <v>0</v>
      </c>
      <c r="S48" s="1027">
        <f t="shared" si="16"/>
        <v>0</v>
      </c>
      <c r="T48" s="1027">
        <f t="shared" si="17"/>
        <v>0</v>
      </c>
    </row>
    <row r="49" spans="1:20">
      <c r="B49" s="984" t="s">
        <v>27</v>
      </c>
      <c r="E49" s="1079">
        <v>0</v>
      </c>
      <c r="H49" s="984">
        <v>11</v>
      </c>
      <c r="I49" s="1027">
        <f t="shared" si="6"/>
        <v>0</v>
      </c>
      <c r="J49" s="1027">
        <f t="shared" si="7"/>
        <v>0</v>
      </c>
      <c r="K49" s="1027">
        <f t="shared" si="8"/>
        <v>0</v>
      </c>
      <c r="L49" s="1027">
        <f t="shared" si="9"/>
        <v>0</v>
      </c>
      <c r="M49" s="1027">
        <f t="shared" si="10"/>
        <v>0</v>
      </c>
      <c r="N49" s="1027">
        <f t="shared" si="11"/>
        <v>0</v>
      </c>
      <c r="O49" s="1027">
        <f t="shared" si="12"/>
        <v>0</v>
      </c>
      <c r="P49" s="1027">
        <f t="shared" si="13"/>
        <v>0</v>
      </c>
      <c r="Q49" s="1027">
        <f t="shared" si="14"/>
        <v>0</v>
      </c>
      <c r="R49" s="1027">
        <f t="shared" si="15"/>
        <v>0</v>
      </c>
      <c r="S49" s="1027">
        <f t="shared" si="16"/>
        <v>0</v>
      </c>
      <c r="T49" s="1027">
        <f t="shared" si="17"/>
        <v>0</v>
      </c>
    </row>
    <row r="50" spans="1:20">
      <c r="B50" s="984" t="s">
        <v>28</v>
      </c>
      <c r="E50" s="1079">
        <v>0</v>
      </c>
      <c r="H50" s="984">
        <v>12</v>
      </c>
      <c r="I50" s="1027">
        <f t="shared" si="6"/>
        <v>0</v>
      </c>
      <c r="J50" s="1027">
        <f t="shared" si="7"/>
        <v>0</v>
      </c>
      <c r="K50" s="1027">
        <f t="shared" si="8"/>
        <v>0</v>
      </c>
      <c r="L50" s="1027">
        <f t="shared" si="9"/>
        <v>0</v>
      </c>
      <c r="M50" s="1027">
        <f t="shared" si="10"/>
        <v>0</v>
      </c>
      <c r="N50" s="1027">
        <f t="shared" si="11"/>
        <v>0</v>
      </c>
      <c r="O50" s="1027">
        <f t="shared" si="12"/>
        <v>0</v>
      </c>
      <c r="P50" s="1027">
        <f t="shared" si="13"/>
        <v>0</v>
      </c>
      <c r="Q50" s="1027">
        <f t="shared" si="14"/>
        <v>0</v>
      </c>
      <c r="R50" s="1027">
        <f t="shared" si="15"/>
        <v>0</v>
      </c>
      <c r="S50" s="1027">
        <f t="shared" si="16"/>
        <v>0</v>
      </c>
      <c r="T50" s="1027">
        <f t="shared" si="17"/>
        <v>0</v>
      </c>
    </row>
    <row r="51" spans="1:20">
      <c r="B51" s="984" t="s">
        <v>29</v>
      </c>
      <c r="E51" s="1079">
        <v>0</v>
      </c>
      <c r="H51" s="984">
        <v>13</v>
      </c>
      <c r="I51" s="1027">
        <f t="shared" si="6"/>
        <v>0</v>
      </c>
      <c r="J51" s="1027">
        <f t="shared" si="7"/>
        <v>0</v>
      </c>
      <c r="K51" s="1027">
        <f t="shared" si="8"/>
        <v>0</v>
      </c>
      <c r="L51" s="1027">
        <f t="shared" si="9"/>
        <v>0</v>
      </c>
      <c r="M51" s="1027">
        <f t="shared" si="10"/>
        <v>0</v>
      </c>
      <c r="N51" s="1027">
        <f t="shared" si="11"/>
        <v>0</v>
      </c>
      <c r="O51" s="1027">
        <f t="shared" si="12"/>
        <v>0</v>
      </c>
      <c r="P51" s="1027">
        <f t="shared" si="13"/>
        <v>0</v>
      </c>
      <c r="Q51" s="1027">
        <f t="shared" si="14"/>
        <v>0</v>
      </c>
      <c r="R51" s="1027">
        <f t="shared" si="15"/>
        <v>0</v>
      </c>
      <c r="S51" s="1027">
        <f t="shared" si="16"/>
        <v>0</v>
      </c>
      <c r="T51" s="1027">
        <f t="shared" si="17"/>
        <v>0</v>
      </c>
    </row>
    <row r="52" spans="1:20">
      <c r="B52" s="984" t="s">
        <v>30</v>
      </c>
      <c r="E52" s="1079">
        <v>0</v>
      </c>
      <c r="H52" s="984">
        <v>14</v>
      </c>
      <c r="I52" s="1027">
        <f t="shared" si="6"/>
        <v>0</v>
      </c>
      <c r="J52" s="1027">
        <f t="shared" si="7"/>
        <v>0</v>
      </c>
      <c r="K52" s="1027">
        <f t="shared" si="8"/>
        <v>0</v>
      </c>
      <c r="L52" s="1027">
        <f t="shared" si="9"/>
        <v>0</v>
      </c>
      <c r="M52" s="1027">
        <f t="shared" si="10"/>
        <v>0</v>
      </c>
      <c r="N52" s="1027">
        <f t="shared" si="11"/>
        <v>0</v>
      </c>
      <c r="O52" s="1027">
        <f t="shared" si="12"/>
        <v>0</v>
      </c>
      <c r="P52" s="1027">
        <f t="shared" si="13"/>
        <v>0</v>
      </c>
      <c r="Q52" s="1027">
        <f t="shared" si="14"/>
        <v>0</v>
      </c>
      <c r="R52" s="1027">
        <f t="shared" si="15"/>
        <v>0</v>
      </c>
      <c r="S52" s="1027">
        <f t="shared" si="16"/>
        <v>0</v>
      </c>
      <c r="T52" s="1027">
        <f t="shared" si="17"/>
        <v>0</v>
      </c>
    </row>
    <row r="53" spans="1:20">
      <c r="B53" s="984" t="s">
        <v>31</v>
      </c>
      <c r="E53" s="1079">
        <v>0</v>
      </c>
      <c r="H53" s="984">
        <v>15</v>
      </c>
      <c r="I53" s="1027">
        <f t="shared" si="6"/>
        <v>0</v>
      </c>
      <c r="J53" s="1027">
        <f t="shared" si="7"/>
        <v>0</v>
      </c>
      <c r="K53" s="1027">
        <f t="shared" si="8"/>
        <v>0</v>
      </c>
      <c r="L53" s="1027">
        <f t="shared" si="9"/>
        <v>0</v>
      </c>
      <c r="M53" s="1027">
        <f t="shared" si="10"/>
        <v>0</v>
      </c>
      <c r="N53" s="1027">
        <f t="shared" si="11"/>
        <v>0</v>
      </c>
      <c r="O53" s="1027">
        <f t="shared" si="12"/>
        <v>0</v>
      </c>
      <c r="P53" s="1027">
        <f t="shared" si="13"/>
        <v>0</v>
      </c>
      <c r="Q53" s="1027">
        <f t="shared" si="14"/>
        <v>0</v>
      </c>
      <c r="R53" s="1027">
        <f t="shared" si="15"/>
        <v>0</v>
      </c>
      <c r="S53" s="1027">
        <f t="shared" si="16"/>
        <v>0</v>
      </c>
      <c r="T53" s="1027">
        <f t="shared" si="17"/>
        <v>0</v>
      </c>
    </row>
    <row r="54" spans="1:20">
      <c r="B54" s="984" t="s">
        <v>32</v>
      </c>
      <c r="E54" s="1079">
        <v>0</v>
      </c>
      <c r="H54" s="984">
        <v>16</v>
      </c>
      <c r="I54" s="1027">
        <f t="shared" si="6"/>
        <v>0</v>
      </c>
      <c r="J54" s="1027">
        <f t="shared" si="7"/>
        <v>0</v>
      </c>
      <c r="K54" s="1027">
        <f t="shared" si="8"/>
        <v>0</v>
      </c>
      <c r="L54" s="1027">
        <f t="shared" si="9"/>
        <v>0</v>
      </c>
      <c r="M54" s="1027">
        <f t="shared" si="10"/>
        <v>0</v>
      </c>
      <c r="N54" s="1027">
        <f t="shared" si="11"/>
        <v>0</v>
      </c>
      <c r="O54" s="1027">
        <f t="shared" si="12"/>
        <v>0</v>
      </c>
      <c r="P54" s="1027">
        <f t="shared" si="13"/>
        <v>0</v>
      </c>
      <c r="Q54" s="1027">
        <f t="shared" si="14"/>
        <v>0</v>
      </c>
      <c r="R54" s="1027">
        <f t="shared" si="15"/>
        <v>0</v>
      </c>
      <c r="S54" s="1027">
        <f t="shared" si="16"/>
        <v>0</v>
      </c>
      <c r="T54" s="1027">
        <f t="shared" si="17"/>
        <v>0</v>
      </c>
    </row>
    <row r="55" spans="1:20">
      <c r="B55" s="984" t="s">
        <v>33</v>
      </c>
      <c r="C55" s="984" t="s">
        <v>34</v>
      </c>
      <c r="E55" s="1079">
        <v>0</v>
      </c>
      <c r="H55" s="984">
        <v>17</v>
      </c>
      <c r="I55" s="1027">
        <f t="shared" si="6"/>
        <v>0</v>
      </c>
      <c r="J55" s="1027">
        <f t="shared" si="7"/>
        <v>0</v>
      </c>
      <c r="K55" s="1027">
        <f t="shared" si="8"/>
        <v>0</v>
      </c>
      <c r="L55" s="1027">
        <f t="shared" si="9"/>
        <v>0</v>
      </c>
      <c r="M55" s="1027">
        <f t="shared" si="10"/>
        <v>0</v>
      </c>
      <c r="N55" s="1027">
        <f t="shared" si="11"/>
        <v>0</v>
      </c>
      <c r="O55" s="1027">
        <f t="shared" si="12"/>
        <v>0</v>
      </c>
      <c r="P55" s="1027">
        <f t="shared" si="13"/>
        <v>0</v>
      </c>
      <c r="Q55" s="1027">
        <f t="shared" si="14"/>
        <v>0</v>
      </c>
      <c r="R55" s="1027">
        <f t="shared" si="15"/>
        <v>0</v>
      </c>
      <c r="S55" s="1027">
        <f t="shared" si="16"/>
        <v>0</v>
      </c>
      <c r="T55" s="1027">
        <f t="shared" si="17"/>
        <v>0</v>
      </c>
    </row>
    <row r="56" spans="1:20">
      <c r="C56" s="984" t="s">
        <v>35</v>
      </c>
      <c r="E56" s="1080">
        <v>0</v>
      </c>
      <c r="H56" s="984">
        <v>18</v>
      </c>
      <c r="I56" s="1027">
        <f t="shared" si="6"/>
        <v>0</v>
      </c>
      <c r="J56" s="1027">
        <f t="shared" si="7"/>
        <v>0</v>
      </c>
      <c r="K56" s="1027">
        <f t="shared" si="8"/>
        <v>0</v>
      </c>
      <c r="L56" s="1027">
        <f t="shared" si="9"/>
        <v>0</v>
      </c>
      <c r="M56" s="1027">
        <f t="shared" si="10"/>
        <v>0</v>
      </c>
      <c r="N56" s="1027">
        <f t="shared" si="11"/>
        <v>0</v>
      </c>
      <c r="O56" s="1027">
        <f t="shared" si="12"/>
        <v>0</v>
      </c>
      <c r="P56" s="1027">
        <f t="shared" si="13"/>
        <v>0</v>
      </c>
      <c r="Q56" s="1027">
        <f t="shared" si="14"/>
        <v>0</v>
      </c>
      <c r="R56" s="1027">
        <f t="shared" si="15"/>
        <v>0</v>
      </c>
      <c r="S56" s="1027">
        <f t="shared" si="16"/>
        <v>0</v>
      </c>
      <c r="T56" s="1027">
        <f t="shared" si="17"/>
        <v>0</v>
      </c>
    </row>
    <row r="57" spans="1:20">
      <c r="E57" s="1080"/>
      <c r="H57" s="984">
        <v>18</v>
      </c>
      <c r="I57" s="1027">
        <f t="shared" si="6"/>
        <v>0</v>
      </c>
      <c r="J57" s="1027">
        <f t="shared" si="7"/>
        <v>0</v>
      </c>
      <c r="K57" s="1027">
        <f t="shared" si="8"/>
        <v>0</v>
      </c>
      <c r="L57" s="1027">
        <f t="shared" si="9"/>
        <v>0</v>
      </c>
      <c r="M57" s="1027">
        <f t="shared" si="10"/>
        <v>0</v>
      </c>
      <c r="N57" s="1027">
        <f t="shared" si="11"/>
        <v>0</v>
      </c>
      <c r="O57" s="1027">
        <f t="shared" si="12"/>
        <v>0</v>
      </c>
      <c r="P57" s="1027">
        <f t="shared" si="13"/>
        <v>0</v>
      </c>
      <c r="Q57" s="1027">
        <f t="shared" si="14"/>
        <v>0</v>
      </c>
      <c r="R57" s="1027">
        <f t="shared" si="15"/>
        <v>0</v>
      </c>
      <c r="S57" s="1027">
        <f t="shared" si="16"/>
        <v>0</v>
      </c>
      <c r="T57" s="1027">
        <f t="shared" si="17"/>
        <v>0</v>
      </c>
    </row>
    <row r="58" spans="1:20">
      <c r="E58" s="1080"/>
      <c r="H58" s="984">
        <v>18</v>
      </c>
      <c r="I58" s="1027">
        <f t="shared" si="6"/>
        <v>0</v>
      </c>
      <c r="J58" s="1027">
        <f t="shared" si="7"/>
        <v>0</v>
      </c>
      <c r="K58" s="1027">
        <f t="shared" si="8"/>
        <v>0</v>
      </c>
      <c r="L58" s="1027">
        <f t="shared" si="9"/>
        <v>0</v>
      </c>
      <c r="M58" s="1027">
        <f t="shared" si="10"/>
        <v>0</v>
      </c>
      <c r="N58" s="1027">
        <f t="shared" si="11"/>
        <v>0</v>
      </c>
      <c r="O58" s="1027">
        <f t="shared" si="12"/>
        <v>0</v>
      </c>
      <c r="P58" s="1027">
        <f t="shared" si="13"/>
        <v>0</v>
      </c>
      <c r="Q58" s="1027">
        <f t="shared" si="14"/>
        <v>0</v>
      </c>
      <c r="R58" s="1027">
        <f t="shared" si="15"/>
        <v>0</v>
      </c>
      <c r="S58" s="1027">
        <f t="shared" si="16"/>
        <v>0</v>
      </c>
      <c r="T58" s="1027">
        <f t="shared" si="17"/>
        <v>0</v>
      </c>
    </row>
    <row r="59" spans="1:20">
      <c r="E59" s="1081"/>
      <c r="H59" s="984">
        <v>18</v>
      </c>
      <c r="I59" s="1027">
        <f t="shared" si="6"/>
        <v>0</v>
      </c>
      <c r="J59" s="1027">
        <f t="shared" si="7"/>
        <v>0</v>
      </c>
      <c r="K59" s="1027">
        <f t="shared" si="8"/>
        <v>0</v>
      </c>
      <c r="L59" s="1027">
        <f t="shared" si="9"/>
        <v>0</v>
      </c>
      <c r="M59" s="1027">
        <f t="shared" si="10"/>
        <v>0</v>
      </c>
      <c r="N59" s="1027">
        <f t="shared" si="11"/>
        <v>0</v>
      </c>
      <c r="O59" s="1027">
        <f t="shared" si="12"/>
        <v>0</v>
      </c>
      <c r="P59" s="1027">
        <f t="shared" si="13"/>
        <v>0</v>
      </c>
      <c r="Q59" s="1027">
        <f t="shared" si="14"/>
        <v>0</v>
      </c>
      <c r="R59" s="1027">
        <f t="shared" si="15"/>
        <v>0</v>
      </c>
      <c r="S59" s="1027">
        <f t="shared" si="16"/>
        <v>0</v>
      </c>
      <c r="T59" s="1027">
        <f t="shared" si="17"/>
        <v>0</v>
      </c>
    </row>
    <row r="60" spans="1:20">
      <c r="E60" s="1002"/>
      <c r="H60" s="984">
        <v>19</v>
      </c>
      <c r="I60" s="1027">
        <f t="shared" si="6"/>
        <v>0</v>
      </c>
      <c r="J60" s="1027">
        <f t="shared" si="7"/>
        <v>0</v>
      </c>
      <c r="K60" s="1027">
        <f t="shared" si="8"/>
        <v>0</v>
      </c>
      <c r="L60" s="1027">
        <f t="shared" si="9"/>
        <v>0</v>
      </c>
      <c r="M60" s="1027">
        <f t="shared" si="10"/>
        <v>0</v>
      </c>
      <c r="N60" s="1027">
        <f t="shared" si="11"/>
        <v>0</v>
      </c>
      <c r="O60" s="1027">
        <f t="shared" si="12"/>
        <v>0</v>
      </c>
      <c r="P60" s="1027">
        <f t="shared" si="13"/>
        <v>0</v>
      </c>
      <c r="Q60" s="1027">
        <f t="shared" si="14"/>
        <v>0</v>
      </c>
      <c r="R60" s="1027">
        <f t="shared" si="15"/>
        <v>0</v>
      </c>
      <c r="S60" s="1027">
        <f t="shared" si="16"/>
        <v>0</v>
      </c>
      <c r="T60" s="1027">
        <f t="shared" si="17"/>
        <v>0</v>
      </c>
    </row>
    <row r="61" spans="1:20" ht="13.5" thickBot="1">
      <c r="C61" s="984" t="s">
        <v>16</v>
      </c>
      <c r="E61" s="1029">
        <f>SUM(E43:E59)</f>
        <v>0</v>
      </c>
      <c r="H61" s="984">
        <v>20</v>
      </c>
      <c r="I61" s="1027">
        <f t="shared" si="6"/>
        <v>0</v>
      </c>
      <c r="J61" s="1027">
        <f t="shared" si="7"/>
        <v>0</v>
      </c>
      <c r="K61" s="1027">
        <f t="shared" si="8"/>
        <v>0</v>
      </c>
      <c r="L61" s="1027">
        <f t="shared" si="9"/>
        <v>0</v>
      </c>
      <c r="M61" s="1027">
        <f t="shared" si="10"/>
        <v>0</v>
      </c>
      <c r="N61" s="1027">
        <f t="shared" si="11"/>
        <v>0</v>
      </c>
      <c r="O61" s="1027">
        <f t="shared" si="12"/>
        <v>0</v>
      </c>
      <c r="P61" s="1027">
        <f t="shared" si="13"/>
        <v>0</v>
      </c>
      <c r="Q61" s="1027">
        <f t="shared" si="14"/>
        <v>0</v>
      </c>
      <c r="R61" s="1027">
        <f t="shared" si="15"/>
        <v>0</v>
      </c>
      <c r="S61" s="1027">
        <f t="shared" si="16"/>
        <v>0</v>
      </c>
      <c r="T61" s="1027">
        <f t="shared" si="17"/>
        <v>0</v>
      </c>
    </row>
    <row r="62" spans="1:20" ht="13.5" thickTop="1">
      <c r="H62" s="984">
        <v>21</v>
      </c>
      <c r="I62" s="1027">
        <f t="shared" si="6"/>
        <v>0</v>
      </c>
      <c r="J62" s="1027">
        <f t="shared" si="7"/>
        <v>0</v>
      </c>
      <c r="K62" s="1027">
        <f t="shared" si="8"/>
        <v>0</v>
      </c>
      <c r="L62" s="1027">
        <f t="shared" si="9"/>
        <v>0</v>
      </c>
      <c r="M62" s="1027">
        <f t="shared" si="10"/>
        <v>0</v>
      </c>
      <c r="N62" s="1027">
        <f t="shared" si="11"/>
        <v>0</v>
      </c>
      <c r="O62" s="1027">
        <f t="shared" si="12"/>
        <v>0</v>
      </c>
      <c r="P62" s="1027">
        <f t="shared" si="13"/>
        <v>0</v>
      </c>
      <c r="Q62" s="1027">
        <f t="shared" si="14"/>
        <v>0</v>
      </c>
      <c r="R62" s="1027">
        <f t="shared" si="15"/>
        <v>0</v>
      </c>
      <c r="S62" s="1027">
        <f t="shared" si="16"/>
        <v>0</v>
      </c>
      <c r="T62" s="1027">
        <f t="shared" si="17"/>
        <v>0</v>
      </c>
    </row>
    <row r="63" spans="1:20">
      <c r="A63" s="984" t="s">
        <v>36</v>
      </c>
      <c r="E63" s="1030">
        <f>E61</f>
        <v>0</v>
      </c>
      <c r="H63" s="984">
        <v>22</v>
      </c>
      <c r="I63" s="1027">
        <f t="shared" si="6"/>
        <v>0</v>
      </c>
      <c r="J63" s="1027">
        <f t="shared" si="7"/>
        <v>0</v>
      </c>
      <c r="K63" s="1027">
        <f t="shared" si="8"/>
        <v>0</v>
      </c>
      <c r="L63" s="1027">
        <f t="shared" si="9"/>
        <v>0</v>
      </c>
      <c r="M63" s="1027">
        <f t="shared" si="10"/>
        <v>0</v>
      </c>
      <c r="N63" s="1027">
        <f t="shared" si="11"/>
        <v>0</v>
      </c>
      <c r="O63" s="1027">
        <f t="shared" si="12"/>
        <v>0</v>
      </c>
      <c r="P63" s="1027">
        <f t="shared" si="13"/>
        <v>0</v>
      </c>
      <c r="Q63" s="1027">
        <f t="shared" si="14"/>
        <v>0</v>
      </c>
      <c r="R63" s="1027">
        <f t="shared" si="15"/>
        <v>0</v>
      </c>
      <c r="S63" s="1027">
        <f t="shared" si="16"/>
        <v>0</v>
      </c>
      <c r="T63" s="1027">
        <f t="shared" si="17"/>
        <v>0</v>
      </c>
    </row>
    <row r="64" spans="1:20">
      <c r="H64" s="984">
        <v>23</v>
      </c>
      <c r="I64" s="1027">
        <f t="shared" si="6"/>
        <v>0</v>
      </c>
      <c r="J64" s="1027">
        <f t="shared" si="7"/>
        <v>0</v>
      </c>
      <c r="K64" s="1027">
        <f t="shared" si="8"/>
        <v>0</v>
      </c>
      <c r="L64" s="1027">
        <f t="shared" si="9"/>
        <v>0</v>
      </c>
      <c r="M64" s="1027">
        <f t="shared" si="10"/>
        <v>0</v>
      </c>
      <c r="N64" s="1027">
        <f t="shared" si="11"/>
        <v>0</v>
      </c>
      <c r="O64" s="1027">
        <f t="shared" si="12"/>
        <v>0</v>
      </c>
      <c r="P64" s="1027">
        <f t="shared" si="13"/>
        <v>0</v>
      </c>
      <c r="Q64" s="1027">
        <f t="shared" si="14"/>
        <v>0</v>
      </c>
      <c r="R64" s="1027">
        <f t="shared" si="15"/>
        <v>0</v>
      </c>
      <c r="S64" s="1027">
        <f t="shared" si="16"/>
        <v>0</v>
      </c>
      <c r="T64" s="1027">
        <f t="shared" si="17"/>
        <v>0</v>
      </c>
    </row>
    <row r="65" spans="1:20">
      <c r="A65" s="984" t="s">
        <v>37</v>
      </c>
      <c r="E65" s="1031"/>
      <c r="H65" s="984">
        <v>24</v>
      </c>
      <c r="I65" s="1027">
        <f t="shared" si="6"/>
        <v>0</v>
      </c>
      <c r="J65" s="1027">
        <f t="shared" si="7"/>
        <v>0</v>
      </c>
      <c r="K65" s="1027">
        <f t="shared" si="8"/>
        <v>0</v>
      </c>
      <c r="L65" s="1027">
        <f t="shared" si="9"/>
        <v>0</v>
      </c>
      <c r="M65" s="1027">
        <f t="shared" si="10"/>
        <v>0</v>
      </c>
      <c r="N65" s="1027">
        <f t="shared" si="11"/>
        <v>0</v>
      </c>
      <c r="O65" s="1027">
        <f t="shared" si="12"/>
        <v>0</v>
      </c>
      <c r="P65" s="1027">
        <f t="shared" si="13"/>
        <v>0</v>
      </c>
      <c r="Q65" s="1027">
        <f t="shared" si="14"/>
        <v>0</v>
      </c>
      <c r="R65" s="1027">
        <f t="shared" si="15"/>
        <v>0</v>
      </c>
      <c r="S65" s="1027">
        <f t="shared" si="16"/>
        <v>0</v>
      </c>
      <c r="T65" s="1027">
        <f t="shared" si="17"/>
        <v>0</v>
      </c>
    </row>
    <row r="66" spans="1:20">
      <c r="B66" s="984" t="s">
        <v>38</v>
      </c>
      <c r="E66" s="1032">
        <v>0</v>
      </c>
      <c r="H66" s="984">
        <v>25</v>
      </c>
      <c r="I66" s="1027">
        <f t="shared" si="6"/>
        <v>0</v>
      </c>
      <c r="J66" s="1027">
        <f t="shared" si="7"/>
        <v>0</v>
      </c>
      <c r="K66" s="1027">
        <f t="shared" si="8"/>
        <v>0</v>
      </c>
      <c r="L66" s="1027">
        <f t="shared" si="9"/>
        <v>0</v>
      </c>
      <c r="M66" s="1027">
        <f t="shared" si="10"/>
        <v>0</v>
      </c>
      <c r="N66" s="1027">
        <f t="shared" si="11"/>
        <v>0</v>
      </c>
      <c r="O66" s="1027">
        <f t="shared" si="12"/>
        <v>0</v>
      </c>
      <c r="P66" s="1027">
        <f t="shared" si="13"/>
        <v>0</v>
      </c>
      <c r="Q66" s="1027">
        <f t="shared" si="14"/>
        <v>0</v>
      </c>
      <c r="R66" s="1027">
        <f t="shared" si="15"/>
        <v>0</v>
      </c>
      <c r="S66" s="1027">
        <f t="shared" si="16"/>
        <v>0</v>
      </c>
      <c r="T66" s="1027">
        <f t="shared" si="17"/>
        <v>0</v>
      </c>
    </row>
    <row r="67" spans="1:20">
      <c r="B67" s="984" t="s">
        <v>39</v>
      </c>
      <c r="E67" s="1032">
        <v>0</v>
      </c>
      <c r="H67" s="984">
        <v>26</v>
      </c>
      <c r="I67" s="1027">
        <f t="shared" si="6"/>
        <v>0</v>
      </c>
      <c r="J67" s="1027">
        <f t="shared" si="7"/>
        <v>0</v>
      </c>
      <c r="K67" s="1027">
        <f t="shared" si="8"/>
        <v>0</v>
      </c>
      <c r="L67" s="1027">
        <f t="shared" si="9"/>
        <v>0</v>
      </c>
      <c r="M67" s="1027">
        <f t="shared" si="10"/>
        <v>0</v>
      </c>
      <c r="N67" s="1027">
        <f t="shared" si="11"/>
        <v>0</v>
      </c>
      <c r="O67" s="1027">
        <f t="shared" si="12"/>
        <v>0</v>
      </c>
      <c r="P67" s="1027">
        <f t="shared" si="13"/>
        <v>0</v>
      </c>
      <c r="Q67" s="1027">
        <f t="shared" si="14"/>
        <v>0</v>
      </c>
      <c r="R67" s="1027">
        <f t="shared" si="15"/>
        <v>0</v>
      </c>
      <c r="S67" s="1027">
        <f t="shared" si="16"/>
        <v>0</v>
      </c>
      <c r="T67" s="1027">
        <f t="shared" si="17"/>
        <v>0</v>
      </c>
    </row>
    <row r="68" spans="1:20">
      <c r="B68" s="984" t="s">
        <v>40</v>
      </c>
      <c r="E68" s="1032">
        <v>0</v>
      </c>
      <c r="H68" s="984">
        <v>27</v>
      </c>
      <c r="I68" s="1027">
        <f t="shared" si="6"/>
        <v>0</v>
      </c>
      <c r="J68" s="1027">
        <f t="shared" si="7"/>
        <v>0</v>
      </c>
      <c r="K68" s="1027">
        <f t="shared" si="8"/>
        <v>0</v>
      </c>
      <c r="L68" s="1027">
        <f t="shared" si="9"/>
        <v>0</v>
      </c>
      <c r="M68" s="1027">
        <f t="shared" si="10"/>
        <v>0</v>
      </c>
      <c r="N68" s="1027">
        <f t="shared" si="11"/>
        <v>0</v>
      </c>
      <c r="O68" s="1027">
        <f t="shared" si="12"/>
        <v>0</v>
      </c>
      <c r="P68" s="1027">
        <f t="shared" si="13"/>
        <v>0</v>
      </c>
      <c r="Q68" s="1027">
        <f t="shared" si="14"/>
        <v>0</v>
      </c>
      <c r="R68" s="1027">
        <f t="shared" si="15"/>
        <v>0</v>
      </c>
      <c r="S68" s="1027">
        <f t="shared" si="16"/>
        <v>0</v>
      </c>
      <c r="T68" s="1027">
        <f t="shared" si="17"/>
        <v>0</v>
      </c>
    </row>
    <row r="69" spans="1:20">
      <c r="B69" s="984" t="s">
        <v>41</v>
      </c>
      <c r="E69" s="1032">
        <f>DevCosts!D81</f>
        <v>0</v>
      </c>
      <c r="H69" s="984">
        <v>28</v>
      </c>
      <c r="I69" s="1027">
        <f t="shared" si="6"/>
        <v>0</v>
      </c>
      <c r="J69" s="1027">
        <f t="shared" si="7"/>
        <v>0</v>
      </c>
      <c r="K69" s="1027">
        <f t="shared" si="8"/>
        <v>0</v>
      </c>
      <c r="L69" s="1027">
        <f t="shared" si="9"/>
        <v>0</v>
      </c>
      <c r="M69" s="1027">
        <f t="shared" si="10"/>
        <v>0</v>
      </c>
      <c r="N69" s="1027">
        <f t="shared" si="11"/>
        <v>0</v>
      </c>
      <c r="O69" s="1027">
        <f t="shared" si="12"/>
        <v>0</v>
      </c>
      <c r="P69" s="1027">
        <f t="shared" si="13"/>
        <v>0</v>
      </c>
      <c r="Q69" s="1027">
        <f t="shared" si="14"/>
        <v>0</v>
      </c>
      <c r="R69" s="1027">
        <f t="shared" si="15"/>
        <v>0</v>
      </c>
      <c r="S69" s="1027">
        <f t="shared" si="16"/>
        <v>0</v>
      </c>
      <c r="T69" s="1027">
        <f t="shared" si="17"/>
        <v>0</v>
      </c>
    </row>
    <row r="70" spans="1:20">
      <c r="B70" s="984" t="s">
        <v>42</v>
      </c>
      <c r="E70" s="1032">
        <v>0</v>
      </c>
      <c r="H70" s="984">
        <v>29</v>
      </c>
      <c r="I70" s="1027">
        <f t="shared" si="6"/>
        <v>0</v>
      </c>
      <c r="J70" s="1027">
        <f t="shared" si="7"/>
        <v>0</v>
      </c>
      <c r="K70" s="1027">
        <f t="shared" si="8"/>
        <v>0</v>
      </c>
      <c r="L70" s="1027">
        <f t="shared" si="9"/>
        <v>0</v>
      </c>
      <c r="M70" s="1027">
        <f t="shared" si="10"/>
        <v>0</v>
      </c>
      <c r="N70" s="1027">
        <f t="shared" si="11"/>
        <v>0</v>
      </c>
      <c r="O70" s="1027">
        <f t="shared" si="12"/>
        <v>0</v>
      </c>
      <c r="P70" s="1027">
        <f t="shared" si="13"/>
        <v>0</v>
      </c>
      <c r="Q70" s="1027">
        <f t="shared" si="14"/>
        <v>0</v>
      </c>
      <c r="R70" s="1027">
        <f t="shared" si="15"/>
        <v>0</v>
      </c>
      <c r="S70" s="1027">
        <f t="shared" si="16"/>
        <v>0</v>
      </c>
      <c r="T70" s="1027">
        <f t="shared" si="17"/>
        <v>0</v>
      </c>
    </row>
    <row r="71" spans="1:20">
      <c r="B71" s="984" t="s">
        <v>43</v>
      </c>
      <c r="E71" s="1033">
        <v>0</v>
      </c>
      <c r="H71" s="984">
        <v>30</v>
      </c>
      <c r="I71" s="1027">
        <f t="shared" si="6"/>
        <v>0</v>
      </c>
      <c r="J71" s="1027">
        <f t="shared" si="7"/>
        <v>0</v>
      </c>
      <c r="K71" s="1027">
        <f t="shared" si="8"/>
        <v>0</v>
      </c>
      <c r="L71" s="1027">
        <f t="shared" si="9"/>
        <v>0</v>
      </c>
      <c r="M71" s="1027">
        <f t="shared" si="10"/>
        <v>0</v>
      </c>
      <c r="N71" s="1027">
        <f t="shared" si="11"/>
        <v>0</v>
      </c>
      <c r="O71" s="1027">
        <f t="shared" si="12"/>
        <v>0</v>
      </c>
      <c r="P71" s="1027">
        <f t="shared" si="13"/>
        <v>0</v>
      </c>
      <c r="Q71" s="1027">
        <f t="shared" si="14"/>
        <v>0</v>
      </c>
      <c r="R71" s="1027">
        <f t="shared" si="15"/>
        <v>0</v>
      </c>
      <c r="S71" s="1027">
        <f t="shared" si="16"/>
        <v>0</v>
      </c>
      <c r="T71" s="1027">
        <f t="shared" si="17"/>
        <v>0</v>
      </c>
    </row>
    <row r="72" spans="1:20">
      <c r="E72" s="1034"/>
      <c r="H72" s="984">
        <v>31</v>
      </c>
      <c r="I72" s="1027">
        <f t="shared" si="6"/>
        <v>0</v>
      </c>
      <c r="J72" s="1027">
        <f t="shared" si="7"/>
        <v>0</v>
      </c>
      <c r="K72" s="1027">
        <f t="shared" si="8"/>
        <v>0</v>
      </c>
      <c r="L72" s="1027">
        <f t="shared" si="9"/>
        <v>0</v>
      </c>
      <c r="M72" s="1027">
        <f t="shared" si="10"/>
        <v>0</v>
      </c>
      <c r="N72" s="1027">
        <f t="shared" si="11"/>
        <v>0</v>
      </c>
      <c r="O72" s="1027">
        <f t="shared" si="12"/>
        <v>0</v>
      </c>
      <c r="P72" s="1027">
        <f t="shared" si="13"/>
        <v>0</v>
      </c>
      <c r="Q72" s="1027">
        <f t="shared" si="14"/>
        <v>0</v>
      </c>
      <c r="R72" s="1027">
        <f t="shared" si="15"/>
        <v>0</v>
      </c>
      <c r="S72" s="1027">
        <f t="shared" si="16"/>
        <v>0</v>
      </c>
      <c r="T72" s="1027">
        <f t="shared" si="17"/>
        <v>0</v>
      </c>
    </row>
    <row r="73" spans="1:20" ht="13.5" thickBot="1">
      <c r="C73" s="984" t="s">
        <v>16</v>
      </c>
      <c r="E73" s="1035">
        <f>SUM(E66:E71)</f>
        <v>0</v>
      </c>
      <c r="H73" s="984">
        <v>32</v>
      </c>
      <c r="I73" s="1027">
        <f t="shared" si="6"/>
        <v>0</v>
      </c>
      <c r="J73" s="1027">
        <f t="shared" si="7"/>
        <v>0</v>
      </c>
      <c r="K73" s="1027">
        <f t="shared" si="8"/>
        <v>0</v>
      </c>
      <c r="L73" s="1027">
        <f t="shared" si="9"/>
        <v>0</v>
      </c>
      <c r="M73" s="1027">
        <f t="shared" si="10"/>
        <v>0</v>
      </c>
      <c r="N73" s="1027">
        <f t="shared" si="11"/>
        <v>0</v>
      </c>
      <c r="O73" s="1027">
        <f t="shared" si="12"/>
        <v>0</v>
      </c>
      <c r="P73" s="1027">
        <f t="shared" si="13"/>
        <v>0</v>
      </c>
      <c r="Q73" s="1027">
        <f t="shared" si="14"/>
        <v>0</v>
      </c>
      <c r="R73" s="1027">
        <f t="shared" si="15"/>
        <v>0</v>
      </c>
      <c r="S73" s="1027">
        <f t="shared" si="16"/>
        <v>0</v>
      </c>
      <c r="T73" s="1027">
        <f t="shared" si="17"/>
        <v>0</v>
      </c>
    </row>
    <row r="74" spans="1:20" ht="13.5" thickTop="1">
      <c r="H74" s="984">
        <v>33</v>
      </c>
      <c r="I74" s="1027">
        <f t="shared" si="6"/>
        <v>0</v>
      </c>
      <c r="J74" s="1027">
        <f t="shared" si="7"/>
        <v>0</v>
      </c>
      <c r="K74" s="1027">
        <f t="shared" si="8"/>
        <v>0</v>
      </c>
      <c r="L74" s="1027">
        <f t="shared" si="9"/>
        <v>0</v>
      </c>
      <c r="M74" s="1027">
        <f t="shared" si="10"/>
        <v>0</v>
      </c>
      <c r="N74" s="1027">
        <f t="shared" si="11"/>
        <v>0</v>
      </c>
      <c r="O74" s="1027">
        <f t="shared" si="12"/>
        <v>0</v>
      </c>
      <c r="P74" s="1027">
        <f t="shared" si="13"/>
        <v>0</v>
      </c>
      <c r="Q74" s="1027">
        <f t="shared" si="14"/>
        <v>0</v>
      </c>
      <c r="R74" s="1027">
        <f t="shared" si="15"/>
        <v>0</v>
      </c>
      <c r="S74" s="1027">
        <f t="shared" si="16"/>
        <v>0</v>
      </c>
      <c r="T74" s="1027">
        <f t="shared" si="17"/>
        <v>0</v>
      </c>
    </row>
    <row r="75" spans="1:20">
      <c r="A75" s="984" t="s">
        <v>44</v>
      </c>
      <c r="E75" s="1031"/>
      <c r="H75" s="984">
        <v>34</v>
      </c>
      <c r="I75" s="1027">
        <f t="shared" si="6"/>
        <v>0</v>
      </c>
      <c r="J75" s="1027">
        <f t="shared" si="7"/>
        <v>0</v>
      </c>
      <c r="K75" s="1027">
        <f t="shared" si="8"/>
        <v>0</v>
      </c>
      <c r="L75" s="1027">
        <f t="shared" si="9"/>
        <v>0</v>
      </c>
      <c r="M75" s="1027">
        <f t="shared" si="10"/>
        <v>0</v>
      </c>
      <c r="N75" s="1027">
        <f t="shared" si="11"/>
        <v>0</v>
      </c>
      <c r="O75" s="1027">
        <f t="shared" si="12"/>
        <v>0</v>
      </c>
      <c r="P75" s="1027">
        <f t="shared" si="13"/>
        <v>0</v>
      </c>
      <c r="Q75" s="1027">
        <f t="shared" si="14"/>
        <v>0</v>
      </c>
      <c r="R75" s="1027">
        <f t="shared" si="15"/>
        <v>0</v>
      </c>
      <c r="S75" s="1027">
        <f t="shared" si="16"/>
        <v>0</v>
      </c>
      <c r="T75" s="1027">
        <f t="shared" si="17"/>
        <v>0</v>
      </c>
    </row>
    <row r="76" spans="1:20">
      <c r="B76" s="984" t="s">
        <v>45</v>
      </c>
      <c r="D76" s="1036">
        <f>E32</f>
        <v>0</v>
      </c>
      <c r="E76" s="1037"/>
      <c r="F76" s="1030"/>
      <c r="H76" s="984">
        <v>35</v>
      </c>
      <c r="I76" s="1027">
        <f t="shared" si="6"/>
        <v>0</v>
      </c>
      <c r="J76" s="1027">
        <f t="shared" si="7"/>
        <v>0</v>
      </c>
      <c r="K76" s="1027">
        <f t="shared" si="8"/>
        <v>0</v>
      </c>
      <c r="L76" s="1027">
        <f t="shared" si="9"/>
        <v>0</v>
      </c>
      <c r="M76" s="1027">
        <f t="shared" si="10"/>
        <v>0</v>
      </c>
      <c r="N76" s="1027">
        <f t="shared" si="11"/>
        <v>0</v>
      </c>
      <c r="O76" s="1027">
        <f t="shared" si="12"/>
        <v>0</v>
      </c>
      <c r="P76" s="1027">
        <f t="shared" si="13"/>
        <v>0</v>
      </c>
      <c r="Q76" s="1027">
        <f t="shared" si="14"/>
        <v>0</v>
      </c>
      <c r="R76" s="1027">
        <f t="shared" si="15"/>
        <v>0</v>
      </c>
      <c r="S76" s="1027">
        <f t="shared" si="16"/>
        <v>0</v>
      </c>
      <c r="T76" s="1027">
        <f t="shared" si="17"/>
        <v>0</v>
      </c>
    </row>
    <row r="77" spans="1:20">
      <c r="B77" s="984" t="s">
        <v>46</v>
      </c>
      <c r="D77" s="1038">
        <f>C35</f>
        <v>0</v>
      </c>
      <c r="E77" s="1039"/>
      <c r="F77" s="1040"/>
      <c r="H77" s="984">
        <v>36</v>
      </c>
      <c r="I77" s="1027">
        <f t="shared" si="6"/>
        <v>0</v>
      </c>
      <c r="J77" s="1027">
        <f t="shared" si="7"/>
        <v>0</v>
      </c>
      <c r="K77" s="1027">
        <f t="shared" si="8"/>
        <v>0</v>
      </c>
      <c r="L77" s="1027">
        <f t="shared" si="9"/>
        <v>0</v>
      </c>
      <c r="M77" s="1027">
        <f t="shared" si="10"/>
        <v>0</v>
      </c>
      <c r="N77" s="1027">
        <f t="shared" si="11"/>
        <v>0</v>
      </c>
      <c r="O77" s="1027">
        <f t="shared" si="12"/>
        <v>0</v>
      </c>
      <c r="P77" s="1027">
        <f t="shared" si="13"/>
        <v>0</v>
      </c>
      <c r="Q77" s="1027">
        <f t="shared" si="14"/>
        <v>0</v>
      </c>
      <c r="R77" s="1027">
        <f t="shared" si="15"/>
        <v>0</v>
      </c>
      <c r="S77" s="1027">
        <f t="shared" si="16"/>
        <v>0</v>
      </c>
      <c r="T77" s="1027">
        <f t="shared" si="17"/>
        <v>0</v>
      </c>
    </row>
    <row r="78" spans="1:20">
      <c r="B78" s="984" t="s">
        <v>47</v>
      </c>
      <c r="D78" s="1036">
        <f>K32</f>
        <v>0</v>
      </c>
      <c r="E78" s="1037"/>
      <c r="F78" s="1030"/>
      <c r="H78" s="984">
        <v>37</v>
      </c>
      <c r="I78" s="1027">
        <f t="shared" si="6"/>
        <v>0</v>
      </c>
      <c r="J78" s="1027">
        <f t="shared" si="7"/>
        <v>0</v>
      </c>
      <c r="K78" s="1027">
        <f t="shared" si="8"/>
        <v>0</v>
      </c>
      <c r="L78" s="1027">
        <f t="shared" si="9"/>
        <v>0</v>
      </c>
      <c r="M78" s="1027">
        <f t="shared" si="10"/>
        <v>0</v>
      </c>
      <c r="N78" s="1027">
        <f t="shared" si="11"/>
        <v>0</v>
      </c>
      <c r="O78" s="1027">
        <f t="shared" si="12"/>
        <v>0</v>
      </c>
      <c r="P78" s="1027">
        <f t="shared" si="13"/>
        <v>0</v>
      </c>
      <c r="Q78" s="1027">
        <f t="shared" si="14"/>
        <v>0</v>
      </c>
      <c r="R78" s="1027">
        <f t="shared" si="15"/>
        <v>0</v>
      </c>
      <c r="S78" s="1027">
        <f t="shared" si="16"/>
        <v>0</v>
      </c>
      <c r="T78" s="1027">
        <f t="shared" si="17"/>
        <v>0</v>
      </c>
    </row>
    <row r="79" spans="1:20">
      <c r="E79" s="1031"/>
      <c r="H79" s="984">
        <v>38</v>
      </c>
      <c r="I79" s="1027">
        <f t="shared" si="6"/>
        <v>0</v>
      </c>
      <c r="J79" s="1027">
        <f t="shared" si="7"/>
        <v>0</v>
      </c>
      <c r="K79" s="1027">
        <f t="shared" si="8"/>
        <v>0</v>
      </c>
      <c r="L79" s="1027">
        <f t="shared" si="9"/>
        <v>0</v>
      </c>
      <c r="M79" s="1027">
        <f t="shared" si="10"/>
        <v>0</v>
      </c>
      <c r="N79" s="1027">
        <f t="shared" si="11"/>
        <v>0</v>
      </c>
      <c r="O79" s="1027">
        <f t="shared" si="12"/>
        <v>0</v>
      </c>
      <c r="P79" s="1027">
        <f t="shared" si="13"/>
        <v>0</v>
      </c>
      <c r="Q79" s="1027">
        <f t="shared" si="14"/>
        <v>0</v>
      </c>
      <c r="R79" s="1027">
        <f t="shared" si="15"/>
        <v>0</v>
      </c>
      <c r="S79" s="1027">
        <f t="shared" si="16"/>
        <v>0</v>
      </c>
      <c r="T79" s="1027">
        <f t="shared" si="17"/>
        <v>0</v>
      </c>
    </row>
    <row r="80" spans="1:20">
      <c r="A80" s="984" t="s">
        <v>48</v>
      </c>
      <c r="E80" s="1031"/>
      <c r="H80" s="984">
        <v>39</v>
      </c>
      <c r="I80" s="1027">
        <f t="shared" si="6"/>
        <v>0</v>
      </c>
      <c r="J80" s="1027">
        <f t="shared" si="7"/>
        <v>0</v>
      </c>
      <c r="K80" s="1027">
        <f t="shared" si="8"/>
        <v>0</v>
      </c>
      <c r="L80" s="1027">
        <f t="shared" si="9"/>
        <v>0</v>
      </c>
      <c r="M80" s="1027">
        <f t="shared" si="10"/>
        <v>0</v>
      </c>
      <c r="N80" s="1027">
        <f t="shared" si="11"/>
        <v>0</v>
      </c>
      <c r="O80" s="1027">
        <f t="shared" si="12"/>
        <v>0</v>
      </c>
      <c r="P80" s="1027">
        <f t="shared" si="13"/>
        <v>0</v>
      </c>
      <c r="Q80" s="1027">
        <f t="shared" si="14"/>
        <v>0</v>
      </c>
      <c r="R80" s="1027">
        <f t="shared" si="15"/>
        <v>0</v>
      </c>
      <c r="S80" s="1027">
        <f t="shared" si="16"/>
        <v>0</v>
      </c>
      <c r="T80" s="1027">
        <f t="shared" si="17"/>
        <v>0</v>
      </c>
    </row>
    <row r="81" spans="1:20">
      <c r="B81" s="984" t="s">
        <v>49</v>
      </c>
      <c r="D81" s="1041"/>
      <c r="E81" s="1028">
        <f>E44</f>
        <v>0</v>
      </c>
      <c r="H81" s="984">
        <v>40</v>
      </c>
      <c r="I81" s="1027">
        <f t="shared" si="6"/>
        <v>0</v>
      </c>
      <c r="J81" s="1027">
        <f t="shared" si="7"/>
        <v>0</v>
      </c>
      <c r="K81" s="1027">
        <f t="shared" si="8"/>
        <v>0</v>
      </c>
      <c r="L81" s="1027">
        <f t="shared" si="9"/>
        <v>0</v>
      </c>
      <c r="M81" s="1027">
        <f t="shared" si="10"/>
        <v>0</v>
      </c>
      <c r="N81" s="1027">
        <f t="shared" si="11"/>
        <v>0</v>
      </c>
      <c r="O81" s="1027">
        <f t="shared" si="12"/>
        <v>0</v>
      </c>
      <c r="P81" s="1027">
        <f t="shared" si="13"/>
        <v>0</v>
      </c>
      <c r="Q81" s="1027">
        <f t="shared" si="14"/>
        <v>0</v>
      </c>
      <c r="R81" s="1027">
        <f t="shared" si="15"/>
        <v>0</v>
      </c>
      <c r="S81" s="1027">
        <f t="shared" si="16"/>
        <v>0</v>
      </c>
      <c r="T81" s="1027">
        <f t="shared" si="17"/>
        <v>0</v>
      </c>
    </row>
    <row r="82" spans="1:20">
      <c r="B82" s="984" t="s">
        <v>50</v>
      </c>
      <c r="D82" s="1041"/>
      <c r="E82" s="1028">
        <f>-E73</f>
        <v>0</v>
      </c>
      <c r="H82" s="984">
        <v>41</v>
      </c>
      <c r="I82" s="1027">
        <f t="shared" si="6"/>
        <v>0</v>
      </c>
      <c r="J82" s="1027">
        <f t="shared" si="7"/>
        <v>0</v>
      </c>
      <c r="K82" s="1027">
        <f t="shared" si="8"/>
        <v>0</v>
      </c>
      <c r="L82" s="1027">
        <f t="shared" si="9"/>
        <v>0</v>
      </c>
      <c r="M82" s="1027">
        <f t="shared" si="10"/>
        <v>0</v>
      </c>
      <c r="N82" s="1027">
        <f t="shared" si="11"/>
        <v>0</v>
      </c>
      <c r="O82" s="1027">
        <f t="shared" si="12"/>
        <v>0</v>
      </c>
      <c r="P82" s="1027">
        <f t="shared" si="13"/>
        <v>0</v>
      </c>
      <c r="Q82" s="1027">
        <f t="shared" si="14"/>
        <v>0</v>
      </c>
      <c r="R82" s="1027">
        <f t="shared" si="15"/>
        <v>0</v>
      </c>
      <c r="S82" s="1027">
        <f t="shared" si="16"/>
        <v>0</v>
      </c>
      <c r="T82" s="1027">
        <f t="shared" si="17"/>
        <v>0</v>
      </c>
    </row>
    <row r="83" spans="1:20">
      <c r="B83" s="984" t="s">
        <v>51</v>
      </c>
      <c r="D83" s="1041"/>
      <c r="E83" s="1042">
        <f>D78</f>
        <v>0</v>
      </c>
      <c r="H83" s="984">
        <v>42</v>
      </c>
      <c r="I83" s="1027">
        <f t="shared" si="6"/>
        <v>0</v>
      </c>
      <c r="J83" s="1027">
        <f t="shared" si="7"/>
        <v>0</v>
      </c>
      <c r="K83" s="1027">
        <f t="shared" si="8"/>
        <v>0</v>
      </c>
      <c r="L83" s="1027">
        <f t="shared" si="9"/>
        <v>0</v>
      </c>
      <c r="M83" s="1027">
        <f t="shared" si="10"/>
        <v>0</v>
      </c>
      <c r="N83" s="1027">
        <f t="shared" si="11"/>
        <v>0</v>
      </c>
      <c r="O83" s="1027">
        <f t="shared" si="12"/>
        <v>0</v>
      </c>
      <c r="P83" s="1027">
        <f t="shared" si="13"/>
        <v>0</v>
      </c>
      <c r="Q83" s="1027">
        <f t="shared" si="14"/>
        <v>0</v>
      </c>
      <c r="R83" s="1027">
        <f t="shared" si="15"/>
        <v>0</v>
      </c>
      <c r="S83" s="1027">
        <f t="shared" si="16"/>
        <v>0</v>
      </c>
      <c r="T83" s="1027">
        <f t="shared" si="17"/>
        <v>0</v>
      </c>
    </row>
    <row r="84" spans="1:20" ht="13.5" thickBot="1">
      <c r="B84" s="984" t="s">
        <v>52</v>
      </c>
      <c r="D84" s="1041"/>
      <c r="E84" s="1035">
        <f>SUM(E81:E83)</f>
        <v>0</v>
      </c>
      <c r="H84" s="984">
        <v>43</v>
      </c>
      <c r="I84" s="1027">
        <f t="shared" si="6"/>
        <v>0</v>
      </c>
      <c r="J84" s="1027">
        <f t="shared" si="7"/>
        <v>0</v>
      </c>
      <c r="K84" s="1027">
        <f t="shared" si="8"/>
        <v>0</v>
      </c>
      <c r="L84" s="1027">
        <f t="shared" si="9"/>
        <v>0</v>
      </c>
      <c r="M84" s="1027">
        <f t="shared" si="10"/>
        <v>0</v>
      </c>
      <c r="N84" s="1027">
        <f t="shared" si="11"/>
        <v>0</v>
      </c>
      <c r="O84" s="1027">
        <f t="shared" si="12"/>
        <v>0</v>
      </c>
      <c r="P84" s="1027">
        <f t="shared" si="13"/>
        <v>0</v>
      </c>
      <c r="Q84" s="1027">
        <f t="shared" si="14"/>
        <v>0</v>
      </c>
      <c r="R84" s="1027">
        <f t="shared" si="15"/>
        <v>0</v>
      </c>
      <c r="S84" s="1027">
        <f t="shared" si="16"/>
        <v>0</v>
      </c>
      <c r="T84" s="1027">
        <f t="shared" si="17"/>
        <v>0</v>
      </c>
    </row>
    <row r="85" spans="1:20" ht="13.5" thickTop="1">
      <c r="D85" s="1041"/>
      <c r="E85" s="1034"/>
      <c r="H85" s="984">
        <v>44</v>
      </c>
      <c r="I85" s="1027">
        <f t="shared" si="6"/>
        <v>0</v>
      </c>
      <c r="J85" s="1027">
        <f t="shared" si="7"/>
        <v>0</v>
      </c>
      <c r="K85" s="1027">
        <f t="shared" si="8"/>
        <v>0</v>
      </c>
      <c r="L85" s="1027">
        <f t="shared" si="9"/>
        <v>0</v>
      </c>
      <c r="M85" s="1027">
        <f t="shared" si="10"/>
        <v>0</v>
      </c>
      <c r="N85" s="1027">
        <f t="shared" si="11"/>
        <v>0</v>
      </c>
      <c r="O85" s="1027">
        <f t="shared" si="12"/>
        <v>0</v>
      </c>
      <c r="P85" s="1027">
        <f t="shared" si="13"/>
        <v>0</v>
      </c>
      <c r="Q85" s="1027">
        <f t="shared" si="14"/>
        <v>0</v>
      </c>
      <c r="R85" s="1027">
        <f t="shared" si="15"/>
        <v>0</v>
      </c>
      <c r="S85" s="1027">
        <f t="shared" si="16"/>
        <v>0</v>
      </c>
      <c r="T85" s="1027">
        <f t="shared" si="17"/>
        <v>0</v>
      </c>
    </row>
    <row r="86" spans="1:20">
      <c r="A86" s="984" t="s">
        <v>53</v>
      </c>
      <c r="D86" s="1041"/>
      <c r="E86" s="1034"/>
      <c r="H86" s="984">
        <v>45</v>
      </c>
      <c r="I86" s="1027">
        <f t="shared" si="6"/>
        <v>0</v>
      </c>
      <c r="J86" s="1027">
        <f t="shared" si="7"/>
        <v>0</v>
      </c>
      <c r="K86" s="1027">
        <f t="shared" si="8"/>
        <v>0</v>
      </c>
      <c r="L86" s="1027">
        <f t="shared" si="9"/>
        <v>0</v>
      </c>
      <c r="M86" s="1027">
        <f t="shared" si="10"/>
        <v>0</v>
      </c>
      <c r="N86" s="1027">
        <f t="shared" si="11"/>
        <v>0</v>
      </c>
      <c r="O86" s="1027">
        <f t="shared" si="12"/>
        <v>0</v>
      </c>
      <c r="P86" s="1027">
        <f t="shared" si="13"/>
        <v>0</v>
      </c>
      <c r="Q86" s="1027">
        <f t="shared" si="14"/>
        <v>0</v>
      </c>
      <c r="R86" s="1027">
        <f t="shared" si="15"/>
        <v>0</v>
      </c>
      <c r="S86" s="1027">
        <f t="shared" si="16"/>
        <v>0</v>
      </c>
      <c r="T86" s="1027">
        <f t="shared" si="17"/>
        <v>0</v>
      </c>
    </row>
    <row r="87" spans="1:20">
      <c r="B87" s="984" t="s">
        <v>54</v>
      </c>
      <c r="D87" s="1041"/>
      <c r="E87" s="1028">
        <f>E84</f>
        <v>0</v>
      </c>
      <c r="H87" s="984">
        <v>46</v>
      </c>
      <c r="I87" s="1027">
        <f t="shared" si="6"/>
        <v>0</v>
      </c>
      <c r="J87" s="1027">
        <f t="shared" si="7"/>
        <v>0</v>
      </c>
      <c r="K87" s="1027">
        <f t="shared" si="8"/>
        <v>0</v>
      </c>
      <c r="L87" s="1027">
        <f t="shared" si="9"/>
        <v>0</v>
      </c>
      <c r="M87" s="1027">
        <f t="shared" si="10"/>
        <v>0</v>
      </c>
      <c r="N87" s="1027">
        <f t="shared" si="11"/>
        <v>0</v>
      </c>
      <c r="O87" s="1027">
        <f t="shared" si="12"/>
        <v>0</v>
      </c>
      <c r="P87" s="1027">
        <f t="shared" si="13"/>
        <v>0</v>
      </c>
      <c r="Q87" s="1027">
        <f t="shared" si="14"/>
        <v>0</v>
      </c>
      <c r="R87" s="1027">
        <f t="shared" si="15"/>
        <v>0</v>
      </c>
      <c r="S87" s="1027">
        <f t="shared" si="16"/>
        <v>0</v>
      </c>
      <c r="T87" s="1027">
        <f t="shared" si="17"/>
        <v>0</v>
      </c>
    </row>
    <row r="88" spans="1:20">
      <c r="B88" s="984" t="s">
        <v>55</v>
      </c>
      <c r="D88" s="1043">
        <f>B3*10</f>
        <v>0</v>
      </c>
      <c r="E88" s="1028"/>
      <c r="H88" s="984">
        <v>47</v>
      </c>
      <c r="I88" s="1027">
        <f t="shared" si="6"/>
        <v>0</v>
      </c>
      <c r="J88" s="1027">
        <f t="shared" si="7"/>
        <v>0</v>
      </c>
      <c r="K88" s="1027">
        <f t="shared" si="8"/>
        <v>0</v>
      </c>
      <c r="L88" s="1027">
        <f t="shared" si="9"/>
        <v>0</v>
      </c>
      <c r="M88" s="1027">
        <f t="shared" si="10"/>
        <v>0</v>
      </c>
      <c r="N88" s="1027">
        <f t="shared" si="11"/>
        <v>0</v>
      </c>
      <c r="O88" s="1027">
        <f t="shared" si="12"/>
        <v>0</v>
      </c>
      <c r="P88" s="1027">
        <f t="shared" si="13"/>
        <v>0</v>
      </c>
      <c r="Q88" s="1027">
        <f t="shared" si="14"/>
        <v>0</v>
      </c>
      <c r="R88" s="1027">
        <f t="shared" si="15"/>
        <v>0</v>
      </c>
      <c r="S88" s="1027">
        <f t="shared" si="16"/>
        <v>0</v>
      </c>
      <c r="T88" s="1027">
        <f t="shared" si="17"/>
        <v>0</v>
      </c>
    </row>
    <row r="89" spans="1:20">
      <c r="B89" s="984" t="s">
        <v>56</v>
      </c>
      <c r="D89" s="1044">
        <f>B5</f>
        <v>0.99990000000000001</v>
      </c>
      <c r="E89" s="1028"/>
      <c r="H89" s="984">
        <v>48</v>
      </c>
      <c r="I89" s="1027">
        <f t="shared" si="6"/>
        <v>0</v>
      </c>
      <c r="J89" s="1027">
        <f t="shared" si="7"/>
        <v>0</v>
      </c>
      <c r="K89" s="1027">
        <f t="shared" si="8"/>
        <v>0</v>
      </c>
      <c r="L89" s="1027">
        <f t="shared" si="9"/>
        <v>0</v>
      </c>
      <c r="M89" s="1027">
        <f t="shared" si="10"/>
        <v>0</v>
      </c>
      <c r="N89" s="1027">
        <f t="shared" si="11"/>
        <v>0</v>
      </c>
      <c r="O89" s="1027">
        <f t="shared" si="12"/>
        <v>0</v>
      </c>
      <c r="P89" s="1027">
        <f t="shared" si="13"/>
        <v>0</v>
      </c>
      <c r="Q89" s="1027">
        <f t="shared" si="14"/>
        <v>0</v>
      </c>
      <c r="R89" s="1027">
        <f t="shared" si="15"/>
        <v>0</v>
      </c>
      <c r="S89" s="1027">
        <f t="shared" si="16"/>
        <v>0</v>
      </c>
      <c r="T89" s="1027">
        <f t="shared" si="17"/>
        <v>0</v>
      </c>
    </row>
    <row r="90" spans="1:20">
      <c r="B90" s="984" t="s">
        <v>57</v>
      </c>
      <c r="D90" s="1041"/>
      <c r="E90" s="1042">
        <f>D88*D89</f>
        <v>0</v>
      </c>
      <c r="H90" s="984">
        <v>49</v>
      </c>
      <c r="I90" s="1027">
        <f t="shared" si="6"/>
        <v>0</v>
      </c>
      <c r="J90" s="1027">
        <f t="shared" si="7"/>
        <v>0</v>
      </c>
      <c r="K90" s="1027">
        <f t="shared" si="8"/>
        <v>0</v>
      </c>
      <c r="L90" s="1027">
        <f t="shared" si="9"/>
        <v>0</v>
      </c>
      <c r="M90" s="1027">
        <f t="shared" si="10"/>
        <v>0</v>
      </c>
      <c r="N90" s="1027">
        <f t="shared" si="11"/>
        <v>0</v>
      </c>
      <c r="O90" s="1027">
        <f t="shared" si="12"/>
        <v>0</v>
      </c>
      <c r="P90" s="1027">
        <f t="shared" si="13"/>
        <v>0</v>
      </c>
      <c r="Q90" s="1027">
        <f t="shared" si="14"/>
        <v>0</v>
      </c>
      <c r="R90" s="1027">
        <f t="shared" si="15"/>
        <v>0</v>
      </c>
      <c r="S90" s="1027">
        <f t="shared" si="16"/>
        <v>0</v>
      </c>
      <c r="T90" s="1027">
        <f t="shared" si="17"/>
        <v>0</v>
      </c>
    </row>
    <row r="91" spans="1:20" ht="13.5" thickBot="1">
      <c r="B91" s="984" t="s">
        <v>58</v>
      </c>
      <c r="D91" s="1041"/>
      <c r="E91" s="1045" t="e">
        <f>E87/E90</f>
        <v>#DIV/0!</v>
      </c>
      <c r="H91" s="984">
        <v>50</v>
      </c>
      <c r="I91" s="1027">
        <f t="shared" si="6"/>
        <v>0</v>
      </c>
      <c r="J91" s="1027">
        <f t="shared" si="7"/>
        <v>0</v>
      </c>
      <c r="K91" s="1027">
        <f t="shared" si="8"/>
        <v>0</v>
      </c>
      <c r="L91" s="1027">
        <f t="shared" si="9"/>
        <v>0</v>
      </c>
      <c r="M91" s="1027">
        <f t="shared" si="10"/>
        <v>0</v>
      </c>
      <c r="N91" s="1027">
        <f t="shared" si="11"/>
        <v>0</v>
      </c>
      <c r="O91" s="1027">
        <f t="shared" si="12"/>
        <v>0</v>
      </c>
      <c r="P91" s="1027">
        <f t="shared" si="13"/>
        <v>0</v>
      </c>
      <c r="Q91" s="1027">
        <f t="shared" si="14"/>
        <v>0</v>
      </c>
      <c r="R91" s="1027">
        <f t="shared" si="15"/>
        <v>0</v>
      </c>
      <c r="S91" s="1027">
        <f t="shared" si="16"/>
        <v>0</v>
      </c>
      <c r="T91" s="1027">
        <f t="shared" si="17"/>
        <v>0</v>
      </c>
    </row>
    <row r="92" spans="1:20" ht="13.5" thickTop="1">
      <c r="H92" s="984">
        <v>51</v>
      </c>
      <c r="I92" s="1027">
        <f t="shared" si="6"/>
        <v>0</v>
      </c>
      <c r="J92" s="1027">
        <f t="shared" si="7"/>
        <v>0</v>
      </c>
      <c r="K92" s="1027">
        <f t="shared" si="8"/>
        <v>0</v>
      </c>
      <c r="L92" s="1027">
        <f t="shared" si="9"/>
        <v>0</v>
      </c>
      <c r="M92" s="1027">
        <f t="shared" si="10"/>
        <v>0</v>
      </c>
      <c r="N92" s="1027">
        <f t="shared" si="11"/>
        <v>0</v>
      </c>
      <c r="O92" s="1027">
        <f t="shared" si="12"/>
        <v>0</v>
      </c>
      <c r="P92" s="1027">
        <f t="shared" si="13"/>
        <v>0</v>
      </c>
      <c r="Q92" s="1027">
        <f t="shared" si="14"/>
        <v>0</v>
      </c>
      <c r="R92" s="1027">
        <f t="shared" si="15"/>
        <v>0</v>
      </c>
      <c r="S92" s="1027">
        <f t="shared" si="16"/>
        <v>0</v>
      </c>
      <c r="T92" s="1027">
        <f t="shared" si="17"/>
        <v>0</v>
      </c>
    </row>
    <row r="93" spans="1:20">
      <c r="H93" s="984">
        <v>52</v>
      </c>
      <c r="I93" s="1027">
        <f t="shared" si="6"/>
        <v>0</v>
      </c>
      <c r="J93" s="1027">
        <f t="shared" si="7"/>
        <v>0</v>
      </c>
      <c r="K93" s="1027">
        <f t="shared" si="8"/>
        <v>0</v>
      </c>
      <c r="L93" s="1027">
        <f t="shared" si="9"/>
        <v>0</v>
      </c>
      <c r="M93" s="1027">
        <f t="shared" si="10"/>
        <v>0</v>
      </c>
      <c r="N93" s="1027">
        <f t="shared" si="11"/>
        <v>0</v>
      </c>
      <c r="O93" s="1027">
        <f t="shared" si="12"/>
        <v>0</v>
      </c>
      <c r="P93" s="1027">
        <f t="shared" si="13"/>
        <v>0</v>
      </c>
      <c r="Q93" s="1027">
        <f t="shared" si="14"/>
        <v>0</v>
      </c>
      <c r="R93" s="1027">
        <f t="shared" si="15"/>
        <v>0</v>
      </c>
      <c r="S93" s="1027">
        <f t="shared" si="16"/>
        <v>0</v>
      </c>
      <c r="T93" s="1027">
        <f t="shared" si="17"/>
        <v>0</v>
      </c>
    </row>
    <row r="94" spans="1:20">
      <c r="H94" s="984">
        <v>53</v>
      </c>
      <c r="I94" s="1027">
        <f t="shared" si="6"/>
        <v>0</v>
      </c>
      <c r="J94" s="1027">
        <f t="shared" si="7"/>
        <v>0</v>
      </c>
      <c r="K94" s="1027">
        <f t="shared" si="8"/>
        <v>0</v>
      </c>
      <c r="L94" s="1027">
        <f t="shared" si="9"/>
        <v>0</v>
      </c>
      <c r="M94" s="1027">
        <f t="shared" si="10"/>
        <v>0</v>
      </c>
      <c r="N94" s="1027">
        <f t="shared" si="11"/>
        <v>0</v>
      </c>
      <c r="O94" s="1027">
        <f t="shared" si="12"/>
        <v>0</v>
      </c>
      <c r="P94" s="1027">
        <f t="shared" si="13"/>
        <v>0</v>
      </c>
      <c r="Q94" s="1027">
        <f t="shared" si="14"/>
        <v>0</v>
      </c>
      <c r="R94" s="1027">
        <f t="shared" si="15"/>
        <v>0</v>
      </c>
      <c r="S94" s="1027">
        <f t="shared" si="16"/>
        <v>0</v>
      </c>
      <c r="T94" s="1027">
        <f t="shared" si="17"/>
        <v>0</v>
      </c>
    </row>
    <row r="95" spans="1:20">
      <c r="H95" s="984">
        <v>54</v>
      </c>
      <c r="I95" s="1027">
        <f t="shared" si="6"/>
        <v>0</v>
      </c>
      <c r="J95" s="1027">
        <f t="shared" si="7"/>
        <v>0</v>
      </c>
      <c r="K95" s="1027">
        <f t="shared" si="8"/>
        <v>0</v>
      </c>
      <c r="L95" s="1027">
        <f t="shared" si="9"/>
        <v>0</v>
      </c>
      <c r="M95" s="1027">
        <f t="shared" si="10"/>
        <v>0</v>
      </c>
      <c r="N95" s="1027">
        <f t="shared" si="11"/>
        <v>0</v>
      </c>
      <c r="O95" s="1027">
        <f t="shared" si="12"/>
        <v>0</v>
      </c>
      <c r="P95" s="1027">
        <f t="shared" si="13"/>
        <v>0</v>
      </c>
      <c r="Q95" s="1027">
        <f t="shared" si="14"/>
        <v>0</v>
      </c>
      <c r="R95" s="1027">
        <f t="shared" si="15"/>
        <v>0</v>
      </c>
      <c r="S95" s="1027">
        <f t="shared" si="16"/>
        <v>0</v>
      </c>
      <c r="T95" s="1027">
        <f t="shared" si="17"/>
        <v>0</v>
      </c>
    </row>
    <row r="96" spans="1:20">
      <c r="H96" s="984">
        <v>55</v>
      </c>
      <c r="I96" s="1027">
        <f t="shared" si="6"/>
        <v>0</v>
      </c>
      <c r="J96" s="1027">
        <f t="shared" si="7"/>
        <v>0</v>
      </c>
      <c r="K96" s="1027">
        <f t="shared" si="8"/>
        <v>0</v>
      </c>
      <c r="L96" s="1027">
        <f t="shared" si="9"/>
        <v>0</v>
      </c>
      <c r="M96" s="1027">
        <f t="shared" si="10"/>
        <v>0</v>
      </c>
      <c r="N96" s="1027">
        <f t="shared" si="11"/>
        <v>0</v>
      </c>
      <c r="O96" s="1027">
        <f t="shared" si="12"/>
        <v>0</v>
      </c>
      <c r="P96" s="1027">
        <f t="shared" si="13"/>
        <v>0</v>
      </c>
      <c r="Q96" s="1027">
        <f t="shared" si="14"/>
        <v>0</v>
      </c>
      <c r="R96" s="1027">
        <f t="shared" si="15"/>
        <v>0</v>
      </c>
      <c r="S96" s="1027">
        <f t="shared" si="16"/>
        <v>0</v>
      </c>
      <c r="T96" s="1027">
        <f t="shared" si="17"/>
        <v>0</v>
      </c>
    </row>
    <row r="97" spans="8:20">
      <c r="H97" s="984">
        <v>56</v>
      </c>
      <c r="I97" s="1027">
        <f t="shared" si="6"/>
        <v>0</v>
      </c>
      <c r="J97" s="1027">
        <f t="shared" si="7"/>
        <v>0</v>
      </c>
      <c r="K97" s="1027">
        <f t="shared" si="8"/>
        <v>0</v>
      </c>
      <c r="L97" s="1027">
        <f t="shared" si="9"/>
        <v>0</v>
      </c>
      <c r="M97" s="1027">
        <f t="shared" si="10"/>
        <v>0</v>
      </c>
      <c r="N97" s="1027">
        <f t="shared" si="11"/>
        <v>0</v>
      </c>
      <c r="O97" s="1027">
        <f t="shared" si="12"/>
        <v>0</v>
      </c>
      <c r="P97" s="1027">
        <f t="shared" si="13"/>
        <v>0</v>
      </c>
      <c r="Q97" s="1027">
        <f t="shared" si="14"/>
        <v>0</v>
      </c>
      <c r="R97" s="1027">
        <f t="shared" si="15"/>
        <v>0</v>
      </c>
      <c r="S97" s="1027">
        <f t="shared" si="16"/>
        <v>0</v>
      </c>
      <c r="T97" s="1027">
        <f t="shared" si="17"/>
        <v>0</v>
      </c>
    </row>
    <row r="98" spans="8:20">
      <c r="H98" s="984">
        <v>57</v>
      </c>
      <c r="I98" s="1027">
        <f t="shared" si="6"/>
        <v>0</v>
      </c>
      <c r="J98" s="1027">
        <f t="shared" si="7"/>
        <v>0</v>
      </c>
      <c r="K98" s="1027">
        <f t="shared" si="8"/>
        <v>0</v>
      </c>
      <c r="L98" s="1027">
        <f t="shared" si="9"/>
        <v>0</v>
      </c>
      <c r="M98" s="1027">
        <f t="shared" si="10"/>
        <v>0</v>
      </c>
      <c r="N98" s="1027">
        <f t="shared" si="11"/>
        <v>0</v>
      </c>
      <c r="O98" s="1027">
        <f t="shared" si="12"/>
        <v>0</v>
      </c>
      <c r="P98" s="1027">
        <f t="shared" si="13"/>
        <v>0</v>
      </c>
      <c r="Q98" s="1027">
        <f t="shared" si="14"/>
        <v>0</v>
      </c>
      <c r="R98" s="1027">
        <f t="shared" si="15"/>
        <v>0</v>
      </c>
      <c r="S98" s="1027">
        <f t="shared" si="16"/>
        <v>0</v>
      </c>
      <c r="T98" s="1027">
        <f t="shared" si="17"/>
        <v>0</v>
      </c>
    </row>
    <row r="99" spans="8:20">
      <c r="H99" s="984">
        <v>58</v>
      </c>
      <c r="I99" s="1027">
        <f t="shared" si="6"/>
        <v>0</v>
      </c>
      <c r="J99" s="1027">
        <f t="shared" si="7"/>
        <v>0</v>
      </c>
      <c r="K99" s="1027">
        <f t="shared" si="8"/>
        <v>0</v>
      </c>
      <c r="L99" s="1027">
        <f t="shared" si="9"/>
        <v>0</v>
      </c>
      <c r="M99" s="1027">
        <f t="shared" si="10"/>
        <v>0</v>
      </c>
      <c r="N99" s="1027">
        <f t="shared" si="11"/>
        <v>0</v>
      </c>
      <c r="O99" s="1027">
        <f t="shared" si="12"/>
        <v>0</v>
      </c>
      <c r="P99" s="1027">
        <f t="shared" si="13"/>
        <v>0</v>
      </c>
      <c r="Q99" s="1027">
        <f t="shared" si="14"/>
        <v>0</v>
      </c>
      <c r="R99" s="1027">
        <f t="shared" si="15"/>
        <v>0</v>
      </c>
      <c r="S99" s="1027">
        <f t="shared" si="16"/>
        <v>0</v>
      </c>
      <c r="T99" s="1027">
        <f t="shared" si="17"/>
        <v>0</v>
      </c>
    </row>
    <row r="100" spans="8:20">
      <c r="H100" s="984">
        <v>59</v>
      </c>
      <c r="I100" s="1027">
        <f t="shared" si="6"/>
        <v>0</v>
      </c>
      <c r="J100" s="1027">
        <f t="shared" si="7"/>
        <v>0</v>
      </c>
      <c r="K100" s="1027">
        <f t="shared" si="8"/>
        <v>0</v>
      </c>
      <c r="L100" s="1027">
        <f t="shared" si="9"/>
        <v>0</v>
      </c>
      <c r="M100" s="1027">
        <f t="shared" si="10"/>
        <v>0</v>
      </c>
      <c r="N100" s="1027">
        <f t="shared" si="11"/>
        <v>0</v>
      </c>
      <c r="O100" s="1027">
        <f t="shared" si="12"/>
        <v>0</v>
      </c>
      <c r="P100" s="1027">
        <f t="shared" si="13"/>
        <v>0</v>
      </c>
      <c r="Q100" s="1027">
        <f t="shared" si="14"/>
        <v>0</v>
      </c>
      <c r="R100" s="1027">
        <f t="shared" si="15"/>
        <v>0</v>
      </c>
      <c r="S100" s="1027">
        <f t="shared" si="16"/>
        <v>0</v>
      </c>
      <c r="T100" s="1027">
        <f t="shared" si="17"/>
        <v>0</v>
      </c>
    </row>
    <row r="101" spans="8:20">
      <c r="H101" s="984">
        <v>60</v>
      </c>
      <c r="I101" s="1027">
        <f t="shared" si="6"/>
        <v>0</v>
      </c>
      <c r="J101" s="1027">
        <f t="shared" si="7"/>
        <v>0</v>
      </c>
      <c r="K101" s="1027">
        <f t="shared" si="8"/>
        <v>0</v>
      </c>
      <c r="L101" s="1027">
        <f t="shared" si="9"/>
        <v>0</v>
      </c>
      <c r="M101" s="1027">
        <f t="shared" si="10"/>
        <v>0</v>
      </c>
      <c r="N101" s="1027">
        <f t="shared" si="11"/>
        <v>0</v>
      </c>
      <c r="O101" s="1027">
        <f t="shared" si="12"/>
        <v>0</v>
      </c>
      <c r="P101" s="1027">
        <f t="shared" si="13"/>
        <v>0</v>
      </c>
      <c r="Q101" s="1027">
        <f t="shared" si="14"/>
        <v>0</v>
      </c>
      <c r="R101" s="1027">
        <f t="shared" si="15"/>
        <v>0</v>
      </c>
      <c r="S101" s="1027">
        <f t="shared" si="16"/>
        <v>0</v>
      </c>
      <c r="T101" s="1027">
        <f t="shared" si="17"/>
        <v>0</v>
      </c>
    </row>
    <row r="102" spans="8:20">
      <c r="H102" s="984">
        <v>61</v>
      </c>
      <c r="I102" s="1027">
        <f t="shared" ref="I102:I161" si="18">IF($D$10=H102, $E$10, 0)</f>
        <v>0</v>
      </c>
      <c r="J102" s="1027">
        <f t="shared" ref="J102:J161" si="19">IF($D$11=H102, $E$11, 0)</f>
        <v>0</v>
      </c>
      <c r="K102" s="1027">
        <f t="shared" ref="K102:K161" si="20">IF($D$12=H102, $E$12, 0)</f>
        <v>0</v>
      </c>
      <c r="L102" s="1027">
        <f t="shared" ref="L102:L161" si="21">IF($D$13=H102, $E$13, 0)</f>
        <v>0</v>
      </c>
      <c r="M102" s="1027">
        <f t="shared" ref="M102:M161" si="22">IF($D$14=H102, $E$14, 0)</f>
        <v>0</v>
      </c>
      <c r="N102" s="1027">
        <f t="shared" ref="N102:N161" si="23">IF($D$15=H102, $E$15, 0)</f>
        <v>0</v>
      </c>
      <c r="O102" s="1027">
        <f t="shared" ref="O102:O161" si="24">IF($D$16=H102, $E$16, 0)</f>
        <v>0</v>
      </c>
      <c r="P102" s="1027">
        <f t="shared" ref="P102:P161" si="25">IF($D$17=H102, $E$17, 0)</f>
        <v>0</v>
      </c>
      <c r="Q102" s="1027">
        <f t="shared" ref="Q102:Q161" si="26">IF($D$18=H102, $E$18, 0)</f>
        <v>0</v>
      </c>
      <c r="R102" s="1027">
        <f t="shared" ref="R102:R161" si="27">IF($D$19=H102, $E$19, 0)</f>
        <v>0</v>
      </c>
      <c r="S102" s="1027">
        <f t="shared" ref="S102:S161" si="28">IF($D$20=H102, $E$20, 0)</f>
        <v>0</v>
      </c>
      <c r="T102" s="1027">
        <f t="shared" ref="T102:T161" si="29">IF($D$30=H102, $E$30, 0)</f>
        <v>0</v>
      </c>
    </row>
    <row r="103" spans="8:20">
      <c r="H103" s="984">
        <v>62</v>
      </c>
      <c r="I103" s="1027">
        <f t="shared" si="18"/>
        <v>0</v>
      </c>
      <c r="J103" s="1027">
        <f t="shared" si="19"/>
        <v>0</v>
      </c>
      <c r="K103" s="1027">
        <f t="shared" si="20"/>
        <v>0</v>
      </c>
      <c r="L103" s="1027">
        <f t="shared" si="21"/>
        <v>0</v>
      </c>
      <c r="M103" s="1027">
        <f t="shared" si="22"/>
        <v>0</v>
      </c>
      <c r="N103" s="1027">
        <f t="shared" si="23"/>
        <v>0</v>
      </c>
      <c r="O103" s="1027">
        <f t="shared" si="24"/>
        <v>0</v>
      </c>
      <c r="P103" s="1027">
        <f t="shared" si="25"/>
        <v>0</v>
      </c>
      <c r="Q103" s="1027">
        <f t="shared" si="26"/>
        <v>0</v>
      </c>
      <c r="R103" s="1027">
        <f t="shared" si="27"/>
        <v>0</v>
      </c>
      <c r="S103" s="1027">
        <f t="shared" si="28"/>
        <v>0</v>
      </c>
      <c r="T103" s="1027">
        <f t="shared" si="29"/>
        <v>0</v>
      </c>
    </row>
    <row r="104" spans="8:20">
      <c r="H104" s="984">
        <v>63</v>
      </c>
      <c r="I104" s="1027">
        <f t="shared" si="18"/>
        <v>0</v>
      </c>
      <c r="J104" s="1027">
        <f t="shared" si="19"/>
        <v>0</v>
      </c>
      <c r="K104" s="1027">
        <f t="shared" si="20"/>
        <v>0</v>
      </c>
      <c r="L104" s="1027">
        <f t="shared" si="21"/>
        <v>0</v>
      </c>
      <c r="M104" s="1027">
        <f t="shared" si="22"/>
        <v>0</v>
      </c>
      <c r="N104" s="1027">
        <f t="shared" si="23"/>
        <v>0</v>
      </c>
      <c r="O104" s="1027">
        <f t="shared" si="24"/>
        <v>0</v>
      </c>
      <c r="P104" s="1027">
        <f t="shared" si="25"/>
        <v>0</v>
      </c>
      <c r="Q104" s="1027">
        <f t="shared" si="26"/>
        <v>0</v>
      </c>
      <c r="R104" s="1027">
        <f t="shared" si="27"/>
        <v>0</v>
      </c>
      <c r="S104" s="1027">
        <f t="shared" si="28"/>
        <v>0</v>
      </c>
      <c r="T104" s="1027">
        <f t="shared" si="29"/>
        <v>0</v>
      </c>
    </row>
    <row r="105" spans="8:20">
      <c r="H105" s="984">
        <v>64</v>
      </c>
      <c r="I105" s="1027">
        <f t="shared" si="18"/>
        <v>0</v>
      </c>
      <c r="J105" s="1027">
        <f t="shared" si="19"/>
        <v>0</v>
      </c>
      <c r="K105" s="1027">
        <f t="shared" si="20"/>
        <v>0</v>
      </c>
      <c r="L105" s="1027">
        <f t="shared" si="21"/>
        <v>0</v>
      </c>
      <c r="M105" s="1027">
        <f t="shared" si="22"/>
        <v>0</v>
      </c>
      <c r="N105" s="1027">
        <f t="shared" si="23"/>
        <v>0</v>
      </c>
      <c r="O105" s="1027">
        <f t="shared" si="24"/>
        <v>0</v>
      </c>
      <c r="P105" s="1027">
        <f t="shared" si="25"/>
        <v>0</v>
      </c>
      <c r="Q105" s="1027">
        <f t="shared" si="26"/>
        <v>0</v>
      </c>
      <c r="R105" s="1027">
        <f t="shared" si="27"/>
        <v>0</v>
      </c>
      <c r="S105" s="1027">
        <f t="shared" si="28"/>
        <v>0</v>
      </c>
      <c r="T105" s="1027">
        <f t="shared" si="29"/>
        <v>0</v>
      </c>
    </row>
    <row r="106" spans="8:20">
      <c r="H106" s="984">
        <v>65</v>
      </c>
      <c r="I106" s="1027">
        <f t="shared" si="18"/>
        <v>0</v>
      </c>
      <c r="J106" s="1027">
        <f t="shared" si="19"/>
        <v>0</v>
      </c>
      <c r="K106" s="1027">
        <f t="shared" si="20"/>
        <v>0</v>
      </c>
      <c r="L106" s="1027">
        <f t="shared" si="21"/>
        <v>0</v>
      </c>
      <c r="M106" s="1027">
        <f t="shared" si="22"/>
        <v>0</v>
      </c>
      <c r="N106" s="1027">
        <f t="shared" si="23"/>
        <v>0</v>
      </c>
      <c r="O106" s="1027">
        <f t="shared" si="24"/>
        <v>0</v>
      </c>
      <c r="P106" s="1027">
        <f t="shared" si="25"/>
        <v>0</v>
      </c>
      <c r="Q106" s="1027">
        <f t="shared" si="26"/>
        <v>0</v>
      </c>
      <c r="R106" s="1027">
        <f t="shared" si="27"/>
        <v>0</v>
      </c>
      <c r="S106" s="1027">
        <f t="shared" si="28"/>
        <v>0</v>
      </c>
      <c r="T106" s="1027">
        <f t="shared" si="29"/>
        <v>0</v>
      </c>
    </row>
    <row r="107" spans="8:20">
      <c r="H107" s="984">
        <v>66</v>
      </c>
      <c r="I107" s="1027">
        <f t="shared" si="18"/>
        <v>0</v>
      </c>
      <c r="J107" s="1027">
        <f t="shared" si="19"/>
        <v>0</v>
      </c>
      <c r="K107" s="1027">
        <f t="shared" si="20"/>
        <v>0</v>
      </c>
      <c r="L107" s="1027">
        <f t="shared" si="21"/>
        <v>0</v>
      </c>
      <c r="M107" s="1027">
        <f t="shared" si="22"/>
        <v>0</v>
      </c>
      <c r="N107" s="1027">
        <f t="shared" si="23"/>
        <v>0</v>
      </c>
      <c r="O107" s="1027">
        <f t="shared" si="24"/>
        <v>0</v>
      </c>
      <c r="P107" s="1027">
        <f t="shared" si="25"/>
        <v>0</v>
      </c>
      <c r="Q107" s="1027">
        <f t="shared" si="26"/>
        <v>0</v>
      </c>
      <c r="R107" s="1027">
        <f t="shared" si="27"/>
        <v>0</v>
      </c>
      <c r="S107" s="1027">
        <f t="shared" si="28"/>
        <v>0</v>
      </c>
      <c r="T107" s="1027">
        <f t="shared" si="29"/>
        <v>0</v>
      </c>
    </row>
    <row r="108" spans="8:20">
      <c r="H108" s="984">
        <v>67</v>
      </c>
      <c r="I108" s="1027">
        <f t="shared" si="18"/>
        <v>0</v>
      </c>
      <c r="J108" s="1027">
        <f t="shared" si="19"/>
        <v>0</v>
      </c>
      <c r="K108" s="1027">
        <f t="shared" si="20"/>
        <v>0</v>
      </c>
      <c r="L108" s="1027">
        <f t="shared" si="21"/>
        <v>0</v>
      </c>
      <c r="M108" s="1027">
        <f t="shared" si="22"/>
        <v>0</v>
      </c>
      <c r="N108" s="1027">
        <f t="shared" si="23"/>
        <v>0</v>
      </c>
      <c r="O108" s="1027">
        <f t="shared" si="24"/>
        <v>0</v>
      </c>
      <c r="P108" s="1027">
        <f t="shared" si="25"/>
        <v>0</v>
      </c>
      <c r="Q108" s="1027">
        <f t="shared" si="26"/>
        <v>0</v>
      </c>
      <c r="R108" s="1027">
        <f t="shared" si="27"/>
        <v>0</v>
      </c>
      <c r="S108" s="1027">
        <f t="shared" si="28"/>
        <v>0</v>
      </c>
      <c r="T108" s="1027">
        <f t="shared" si="29"/>
        <v>0</v>
      </c>
    </row>
    <row r="109" spans="8:20">
      <c r="H109" s="984">
        <v>68</v>
      </c>
      <c r="I109" s="1027">
        <f t="shared" si="18"/>
        <v>0</v>
      </c>
      <c r="J109" s="1027">
        <f t="shared" si="19"/>
        <v>0</v>
      </c>
      <c r="K109" s="1027">
        <f t="shared" si="20"/>
        <v>0</v>
      </c>
      <c r="L109" s="1027">
        <f t="shared" si="21"/>
        <v>0</v>
      </c>
      <c r="M109" s="1027">
        <f t="shared" si="22"/>
        <v>0</v>
      </c>
      <c r="N109" s="1027">
        <f t="shared" si="23"/>
        <v>0</v>
      </c>
      <c r="O109" s="1027">
        <f t="shared" si="24"/>
        <v>0</v>
      </c>
      <c r="P109" s="1027">
        <f t="shared" si="25"/>
        <v>0</v>
      </c>
      <c r="Q109" s="1027">
        <f t="shared" si="26"/>
        <v>0</v>
      </c>
      <c r="R109" s="1027">
        <f t="shared" si="27"/>
        <v>0</v>
      </c>
      <c r="S109" s="1027">
        <f t="shared" si="28"/>
        <v>0</v>
      </c>
      <c r="T109" s="1027">
        <f t="shared" si="29"/>
        <v>0</v>
      </c>
    </row>
    <row r="110" spans="8:20">
      <c r="H110" s="984">
        <v>69</v>
      </c>
      <c r="I110" s="1027">
        <f t="shared" si="18"/>
        <v>0</v>
      </c>
      <c r="J110" s="1027">
        <f t="shared" si="19"/>
        <v>0</v>
      </c>
      <c r="K110" s="1027">
        <f t="shared" si="20"/>
        <v>0</v>
      </c>
      <c r="L110" s="1027">
        <f t="shared" si="21"/>
        <v>0</v>
      </c>
      <c r="M110" s="1027">
        <f t="shared" si="22"/>
        <v>0</v>
      </c>
      <c r="N110" s="1027">
        <f t="shared" si="23"/>
        <v>0</v>
      </c>
      <c r="O110" s="1027">
        <f t="shared" si="24"/>
        <v>0</v>
      </c>
      <c r="P110" s="1027">
        <f t="shared" si="25"/>
        <v>0</v>
      </c>
      <c r="Q110" s="1027">
        <f t="shared" si="26"/>
        <v>0</v>
      </c>
      <c r="R110" s="1027">
        <f t="shared" si="27"/>
        <v>0</v>
      </c>
      <c r="S110" s="1027">
        <f t="shared" si="28"/>
        <v>0</v>
      </c>
      <c r="T110" s="1027">
        <f t="shared" si="29"/>
        <v>0</v>
      </c>
    </row>
    <row r="111" spans="8:20">
      <c r="H111" s="984">
        <v>70</v>
      </c>
      <c r="I111" s="1027">
        <f t="shared" si="18"/>
        <v>0</v>
      </c>
      <c r="J111" s="1027">
        <f t="shared" si="19"/>
        <v>0</v>
      </c>
      <c r="K111" s="1027">
        <f t="shared" si="20"/>
        <v>0</v>
      </c>
      <c r="L111" s="1027">
        <f t="shared" si="21"/>
        <v>0</v>
      </c>
      <c r="M111" s="1027">
        <f t="shared" si="22"/>
        <v>0</v>
      </c>
      <c r="N111" s="1027">
        <f t="shared" si="23"/>
        <v>0</v>
      </c>
      <c r="O111" s="1027">
        <f t="shared" si="24"/>
        <v>0</v>
      </c>
      <c r="P111" s="1027">
        <f t="shared" si="25"/>
        <v>0</v>
      </c>
      <c r="Q111" s="1027">
        <f t="shared" si="26"/>
        <v>0</v>
      </c>
      <c r="R111" s="1027">
        <f t="shared" si="27"/>
        <v>0</v>
      </c>
      <c r="S111" s="1027">
        <f t="shared" si="28"/>
        <v>0</v>
      </c>
      <c r="T111" s="1027">
        <f t="shared" si="29"/>
        <v>0</v>
      </c>
    </row>
    <row r="112" spans="8:20">
      <c r="H112" s="984">
        <v>71</v>
      </c>
      <c r="I112" s="1027">
        <f t="shared" si="18"/>
        <v>0</v>
      </c>
      <c r="J112" s="1027">
        <f t="shared" si="19"/>
        <v>0</v>
      </c>
      <c r="K112" s="1027">
        <f t="shared" si="20"/>
        <v>0</v>
      </c>
      <c r="L112" s="1027">
        <f t="shared" si="21"/>
        <v>0</v>
      </c>
      <c r="M112" s="1027">
        <f t="shared" si="22"/>
        <v>0</v>
      </c>
      <c r="N112" s="1027">
        <f t="shared" si="23"/>
        <v>0</v>
      </c>
      <c r="O112" s="1027">
        <f t="shared" si="24"/>
        <v>0</v>
      </c>
      <c r="P112" s="1027">
        <f t="shared" si="25"/>
        <v>0</v>
      </c>
      <c r="Q112" s="1027">
        <f t="shared" si="26"/>
        <v>0</v>
      </c>
      <c r="R112" s="1027">
        <f t="shared" si="27"/>
        <v>0</v>
      </c>
      <c r="S112" s="1027">
        <f t="shared" si="28"/>
        <v>0</v>
      </c>
      <c r="T112" s="1027">
        <f t="shared" si="29"/>
        <v>0</v>
      </c>
    </row>
    <row r="113" spans="8:20">
      <c r="H113" s="984">
        <v>72</v>
      </c>
      <c r="I113" s="1027">
        <f t="shared" si="18"/>
        <v>0</v>
      </c>
      <c r="J113" s="1027">
        <f t="shared" si="19"/>
        <v>0</v>
      </c>
      <c r="K113" s="1027">
        <f t="shared" si="20"/>
        <v>0</v>
      </c>
      <c r="L113" s="1027">
        <f t="shared" si="21"/>
        <v>0</v>
      </c>
      <c r="M113" s="1027">
        <f t="shared" si="22"/>
        <v>0</v>
      </c>
      <c r="N113" s="1027">
        <f t="shared" si="23"/>
        <v>0</v>
      </c>
      <c r="O113" s="1027">
        <f t="shared" si="24"/>
        <v>0</v>
      </c>
      <c r="P113" s="1027">
        <f t="shared" si="25"/>
        <v>0</v>
      </c>
      <c r="Q113" s="1027">
        <f t="shared" si="26"/>
        <v>0</v>
      </c>
      <c r="R113" s="1027">
        <f t="shared" si="27"/>
        <v>0</v>
      </c>
      <c r="S113" s="1027">
        <f t="shared" si="28"/>
        <v>0</v>
      </c>
      <c r="T113" s="1027">
        <f t="shared" si="29"/>
        <v>0</v>
      </c>
    </row>
    <row r="114" spans="8:20">
      <c r="H114" s="984">
        <v>73</v>
      </c>
      <c r="I114" s="1027">
        <f t="shared" si="18"/>
        <v>0</v>
      </c>
      <c r="J114" s="1027">
        <f t="shared" si="19"/>
        <v>0</v>
      </c>
      <c r="K114" s="1027">
        <f t="shared" si="20"/>
        <v>0</v>
      </c>
      <c r="L114" s="1027">
        <f t="shared" si="21"/>
        <v>0</v>
      </c>
      <c r="M114" s="1027">
        <f t="shared" si="22"/>
        <v>0</v>
      </c>
      <c r="N114" s="1027">
        <f t="shared" si="23"/>
        <v>0</v>
      </c>
      <c r="O114" s="1027">
        <f t="shared" si="24"/>
        <v>0</v>
      </c>
      <c r="P114" s="1027">
        <f t="shared" si="25"/>
        <v>0</v>
      </c>
      <c r="Q114" s="1027">
        <f t="shared" si="26"/>
        <v>0</v>
      </c>
      <c r="R114" s="1027">
        <f t="shared" si="27"/>
        <v>0</v>
      </c>
      <c r="S114" s="1027">
        <f t="shared" si="28"/>
        <v>0</v>
      </c>
      <c r="T114" s="1027">
        <f t="shared" si="29"/>
        <v>0</v>
      </c>
    </row>
    <row r="115" spans="8:20">
      <c r="H115" s="984">
        <v>74</v>
      </c>
      <c r="I115" s="1027">
        <f t="shared" si="18"/>
        <v>0</v>
      </c>
      <c r="J115" s="1027">
        <f t="shared" si="19"/>
        <v>0</v>
      </c>
      <c r="K115" s="1027">
        <f t="shared" si="20"/>
        <v>0</v>
      </c>
      <c r="L115" s="1027">
        <f t="shared" si="21"/>
        <v>0</v>
      </c>
      <c r="M115" s="1027">
        <f t="shared" si="22"/>
        <v>0</v>
      </c>
      <c r="N115" s="1027">
        <f t="shared" si="23"/>
        <v>0</v>
      </c>
      <c r="O115" s="1027">
        <f t="shared" si="24"/>
        <v>0</v>
      </c>
      <c r="P115" s="1027">
        <f t="shared" si="25"/>
        <v>0</v>
      </c>
      <c r="Q115" s="1027">
        <f t="shared" si="26"/>
        <v>0</v>
      </c>
      <c r="R115" s="1027">
        <f t="shared" si="27"/>
        <v>0</v>
      </c>
      <c r="S115" s="1027">
        <f t="shared" si="28"/>
        <v>0</v>
      </c>
      <c r="T115" s="1027">
        <f t="shared" si="29"/>
        <v>0</v>
      </c>
    </row>
    <row r="116" spans="8:20">
      <c r="H116" s="984">
        <v>75</v>
      </c>
      <c r="I116" s="1027">
        <f t="shared" si="18"/>
        <v>0</v>
      </c>
      <c r="J116" s="1027">
        <f t="shared" si="19"/>
        <v>0</v>
      </c>
      <c r="K116" s="1027">
        <f t="shared" si="20"/>
        <v>0</v>
      </c>
      <c r="L116" s="1027">
        <f t="shared" si="21"/>
        <v>0</v>
      </c>
      <c r="M116" s="1027">
        <f t="shared" si="22"/>
        <v>0</v>
      </c>
      <c r="N116" s="1027">
        <f t="shared" si="23"/>
        <v>0</v>
      </c>
      <c r="O116" s="1027">
        <f t="shared" si="24"/>
        <v>0</v>
      </c>
      <c r="P116" s="1027">
        <f t="shared" si="25"/>
        <v>0</v>
      </c>
      <c r="Q116" s="1027">
        <f t="shared" si="26"/>
        <v>0</v>
      </c>
      <c r="R116" s="1027">
        <f t="shared" si="27"/>
        <v>0</v>
      </c>
      <c r="S116" s="1027">
        <f t="shared" si="28"/>
        <v>0</v>
      </c>
      <c r="T116" s="1027">
        <f t="shared" si="29"/>
        <v>0</v>
      </c>
    </row>
    <row r="117" spans="8:20">
      <c r="H117" s="984">
        <v>76</v>
      </c>
      <c r="I117" s="1027">
        <f t="shared" si="18"/>
        <v>0</v>
      </c>
      <c r="J117" s="1027">
        <f t="shared" si="19"/>
        <v>0</v>
      </c>
      <c r="K117" s="1027">
        <f t="shared" si="20"/>
        <v>0</v>
      </c>
      <c r="L117" s="1027">
        <f t="shared" si="21"/>
        <v>0</v>
      </c>
      <c r="M117" s="1027">
        <f t="shared" si="22"/>
        <v>0</v>
      </c>
      <c r="N117" s="1027">
        <f t="shared" si="23"/>
        <v>0</v>
      </c>
      <c r="O117" s="1027">
        <f t="shared" si="24"/>
        <v>0</v>
      </c>
      <c r="P117" s="1027">
        <f t="shared" si="25"/>
        <v>0</v>
      </c>
      <c r="Q117" s="1027">
        <f t="shared" si="26"/>
        <v>0</v>
      </c>
      <c r="R117" s="1027">
        <f t="shared" si="27"/>
        <v>0</v>
      </c>
      <c r="S117" s="1027">
        <f t="shared" si="28"/>
        <v>0</v>
      </c>
      <c r="T117" s="1027">
        <f t="shared" si="29"/>
        <v>0</v>
      </c>
    </row>
    <row r="118" spans="8:20">
      <c r="H118" s="984">
        <v>77</v>
      </c>
      <c r="I118" s="1027">
        <f t="shared" si="18"/>
        <v>0</v>
      </c>
      <c r="J118" s="1027">
        <f t="shared" si="19"/>
        <v>0</v>
      </c>
      <c r="K118" s="1027">
        <f t="shared" si="20"/>
        <v>0</v>
      </c>
      <c r="L118" s="1027">
        <f t="shared" si="21"/>
        <v>0</v>
      </c>
      <c r="M118" s="1027">
        <f t="shared" si="22"/>
        <v>0</v>
      </c>
      <c r="N118" s="1027">
        <f t="shared" si="23"/>
        <v>0</v>
      </c>
      <c r="O118" s="1027">
        <f t="shared" si="24"/>
        <v>0</v>
      </c>
      <c r="P118" s="1027">
        <f t="shared" si="25"/>
        <v>0</v>
      </c>
      <c r="Q118" s="1027">
        <f t="shared" si="26"/>
        <v>0</v>
      </c>
      <c r="R118" s="1027">
        <f t="shared" si="27"/>
        <v>0</v>
      </c>
      <c r="S118" s="1027">
        <f t="shared" si="28"/>
        <v>0</v>
      </c>
      <c r="T118" s="1027">
        <f t="shared" si="29"/>
        <v>0</v>
      </c>
    </row>
    <row r="119" spans="8:20">
      <c r="H119" s="984">
        <v>78</v>
      </c>
      <c r="I119" s="1027">
        <f t="shared" si="18"/>
        <v>0</v>
      </c>
      <c r="J119" s="1027">
        <f t="shared" si="19"/>
        <v>0</v>
      </c>
      <c r="K119" s="1027">
        <f t="shared" si="20"/>
        <v>0</v>
      </c>
      <c r="L119" s="1027">
        <f t="shared" si="21"/>
        <v>0</v>
      </c>
      <c r="M119" s="1027">
        <f t="shared" si="22"/>
        <v>0</v>
      </c>
      <c r="N119" s="1027">
        <f t="shared" si="23"/>
        <v>0</v>
      </c>
      <c r="O119" s="1027">
        <f t="shared" si="24"/>
        <v>0</v>
      </c>
      <c r="P119" s="1027">
        <f t="shared" si="25"/>
        <v>0</v>
      </c>
      <c r="Q119" s="1027">
        <f t="shared" si="26"/>
        <v>0</v>
      </c>
      <c r="R119" s="1027">
        <f t="shared" si="27"/>
        <v>0</v>
      </c>
      <c r="S119" s="1027">
        <f t="shared" si="28"/>
        <v>0</v>
      </c>
      <c r="T119" s="1027">
        <f t="shared" si="29"/>
        <v>0</v>
      </c>
    </row>
    <row r="120" spans="8:20">
      <c r="H120" s="984">
        <v>79</v>
      </c>
      <c r="I120" s="1027">
        <f t="shared" si="18"/>
        <v>0</v>
      </c>
      <c r="J120" s="1027">
        <f t="shared" si="19"/>
        <v>0</v>
      </c>
      <c r="K120" s="1027">
        <f t="shared" si="20"/>
        <v>0</v>
      </c>
      <c r="L120" s="1027">
        <f t="shared" si="21"/>
        <v>0</v>
      </c>
      <c r="M120" s="1027">
        <f t="shared" si="22"/>
        <v>0</v>
      </c>
      <c r="N120" s="1027">
        <f t="shared" si="23"/>
        <v>0</v>
      </c>
      <c r="O120" s="1027">
        <f t="shared" si="24"/>
        <v>0</v>
      </c>
      <c r="P120" s="1027">
        <f t="shared" si="25"/>
        <v>0</v>
      </c>
      <c r="Q120" s="1027">
        <f t="shared" si="26"/>
        <v>0</v>
      </c>
      <c r="R120" s="1027">
        <f t="shared" si="27"/>
        <v>0</v>
      </c>
      <c r="S120" s="1027">
        <f t="shared" si="28"/>
        <v>0</v>
      </c>
      <c r="T120" s="1027">
        <f t="shared" si="29"/>
        <v>0</v>
      </c>
    </row>
    <row r="121" spans="8:20">
      <c r="H121" s="984">
        <v>80</v>
      </c>
      <c r="I121" s="1027">
        <f t="shared" si="18"/>
        <v>0</v>
      </c>
      <c r="J121" s="1027">
        <f t="shared" si="19"/>
        <v>0</v>
      </c>
      <c r="K121" s="1027">
        <f t="shared" si="20"/>
        <v>0</v>
      </c>
      <c r="L121" s="1027">
        <f t="shared" si="21"/>
        <v>0</v>
      </c>
      <c r="M121" s="1027">
        <f t="shared" si="22"/>
        <v>0</v>
      </c>
      <c r="N121" s="1027">
        <f t="shared" si="23"/>
        <v>0</v>
      </c>
      <c r="O121" s="1027">
        <f t="shared" si="24"/>
        <v>0</v>
      </c>
      <c r="P121" s="1027">
        <f t="shared" si="25"/>
        <v>0</v>
      </c>
      <c r="Q121" s="1027">
        <f t="shared" si="26"/>
        <v>0</v>
      </c>
      <c r="R121" s="1027">
        <f t="shared" si="27"/>
        <v>0</v>
      </c>
      <c r="S121" s="1027">
        <f t="shared" si="28"/>
        <v>0</v>
      </c>
      <c r="T121" s="1027">
        <f t="shared" si="29"/>
        <v>0</v>
      </c>
    </row>
    <row r="122" spans="8:20">
      <c r="H122" s="984">
        <v>81</v>
      </c>
      <c r="I122" s="1027">
        <f t="shared" si="18"/>
        <v>0</v>
      </c>
      <c r="J122" s="1027">
        <f t="shared" si="19"/>
        <v>0</v>
      </c>
      <c r="K122" s="1027">
        <f t="shared" si="20"/>
        <v>0</v>
      </c>
      <c r="L122" s="1027">
        <f t="shared" si="21"/>
        <v>0</v>
      </c>
      <c r="M122" s="1027">
        <f t="shared" si="22"/>
        <v>0</v>
      </c>
      <c r="N122" s="1027">
        <f t="shared" si="23"/>
        <v>0</v>
      </c>
      <c r="O122" s="1027">
        <f t="shared" si="24"/>
        <v>0</v>
      </c>
      <c r="P122" s="1027">
        <f t="shared" si="25"/>
        <v>0</v>
      </c>
      <c r="Q122" s="1027">
        <f t="shared" si="26"/>
        <v>0</v>
      </c>
      <c r="R122" s="1027">
        <f t="shared" si="27"/>
        <v>0</v>
      </c>
      <c r="S122" s="1027">
        <f t="shared" si="28"/>
        <v>0</v>
      </c>
      <c r="T122" s="1027">
        <f t="shared" si="29"/>
        <v>0</v>
      </c>
    </row>
    <row r="123" spans="8:20">
      <c r="H123" s="984">
        <v>82</v>
      </c>
      <c r="I123" s="1027">
        <f t="shared" si="18"/>
        <v>0</v>
      </c>
      <c r="J123" s="1027">
        <f t="shared" si="19"/>
        <v>0</v>
      </c>
      <c r="K123" s="1027">
        <f t="shared" si="20"/>
        <v>0</v>
      </c>
      <c r="L123" s="1027">
        <f t="shared" si="21"/>
        <v>0</v>
      </c>
      <c r="M123" s="1027">
        <f t="shared" si="22"/>
        <v>0</v>
      </c>
      <c r="N123" s="1027">
        <f t="shared" si="23"/>
        <v>0</v>
      </c>
      <c r="O123" s="1027">
        <f t="shared" si="24"/>
        <v>0</v>
      </c>
      <c r="P123" s="1027">
        <f t="shared" si="25"/>
        <v>0</v>
      </c>
      <c r="Q123" s="1027">
        <f t="shared" si="26"/>
        <v>0</v>
      </c>
      <c r="R123" s="1027">
        <f t="shared" si="27"/>
        <v>0</v>
      </c>
      <c r="S123" s="1027">
        <f t="shared" si="28"/>
        <v>0</v>
      </c>
      <c r="T123" s="1027">
        <f t="shared" si="29"/>
        <v>0</v>
      </c>
    </row>
    <row r="124" spans="8:20">
      <c r="H124" s="984">
        <v>83</v>
      </c>
      <c r="I124" s="1027">
        <f t="shared" si="18"/>
        <v>0</v>
      </c>
      <c r="J124" s="1027">
        <f t="shared" si="19"/>
        <v>0</v>
      </c>
      <c r="K124" s="1027">
        <f t="shared" si="20"/>
        <v>0</v>
      </c>
      <c r="L124" s="1027">
        <f t="shared" si="21"/>
        <v>0</v>
      </c>
      <c r="M124" s="1027">
        <f t="shared" si="22"/>
        <v>0</v>
      </c>
      <c r="N124" s="1027">
        <f t="shared" si="23"/>
        <v>0</v>
      </c>
      <c r="O124" s="1027">
        <f t="shared" si="24"/>
        <v>0</v>
      </c>
      <c r="P124" s="1027">
        <f t="shared" si="25"/>
        <v>0</v>
      </c>
      <c r="Q124" s="1027">
        <f t="shared" si="26"/>
        <v>0</v>
      </c>
      <c r="R124" s="1027">
        <f t="shared" si="27"/>
        <v>0</v>
      </c>
      <c r="S124" s="1027">
        <f t="shared" si="28"/>
        <v>0</v>
      </c>
      <c r="T124" s="1027">
        <f t="shared" si="29"/>
        <v>0</v>
      </c>
    </row>
    <row r="125" spans="8:20">
      <c r="H125" s="984">
        <v>84</v>
      </c>
      <c r="I125" s="1027">
        <f t="shared" si="18"/>
        <v>0</v>
      </c>
      <c r="J125" s="1027">
        <f t="shared" si="19"/>
        <v>0</v>
      </c>
      <c r="K125" s="1027">
        <f t="shared" si="20"/>
        <v>0</v>
      </c>
      <c r="L125" s="1027">
        <f t="shared" si="21"/>
        <v>0</v>
      </c>
      <c r="M125" s="1027">
        <f t="shared" si="22"/>
        <v>0</v>
      </c>
      <c r="N125" s="1027">
        <f t="shared" si="23"/>
        <v>0</v>
      </c>
      <c r="O125" s="1027">
        <f t="shared" si="24"/>
        <v>0</v>
      </c>
      <c r="P125" s="1027">
        <f t="shared" si="25"/>
        <v>0</v>
      </c>
      <c r="Q125" s="1027">
        <f t="shared" si="26"/>
        <v>0</v>
      </c>
      <c r="R125" s="1027">
        <f t="shared" si="27"/>
        <v>0</v>
      </c>
      <c r="S125" s="1027">
        <f t="shared" si="28"/>
        <v>0</v>
      </c>
      <c r="T125" s="1027">
        <f t="shared" si="29"/>
        <v>0</v>
      </c>
    </row>
    <row r="126" spans="8:20">
      <c r="H126" s="984">
        <v>85</v>
      </c>
      <c r="I126" s="1027">
        <f t="shared" si="18"/>
        <v>0</v>
      </c>
      <c r="J126" s="1027">
        <f t="shared" si="19"/>
        <v>0</v>
      </c>
      <c r="K126" s="1027">
        <f t="shared" si="20"/>
        <v>0</v>
      </c>
      <c r="L126" s="1027">
        <f t="shared" si="21"/>
        <v>0</v>
      </c>
      <c r="M126" s="1027">
        <f t="shared" si="22"/>
        <v>0</v>
      </c>
      <c r="N126" s="1027">
        <f t="shared" si="23"/>
        <v>0</v>
      </c>
      <c r="O126" s="1027">
        <f t="shared" si="24"/>
        <v>0</v>
      </c>
      <c r="P126" s="1027">
        <f t="shared" si="25"/>
        <v>0</v>
      </c>
      <c r="Q126" s="1027">
        <f t="shared" si="26"/>
        <v>0</v>
      </c>
      <c r="R126" s="1027">
        <f t="shared" si="27"/>
        <v>0</v>
      </c>
      <c r="S126" s="1027">
        <f t="shared" si="28"/>
        <v>0</v>
      </c>
      <c r="T126" s="1027">
        <f t="shared" si="29"/>
        <v>0</v>
      </c>
    </row>
    <row r="127" spans="8:20">
      <c r="H127" s="984">
        <v>86</v>
      </c>
      <c r="I127" s="1027">
        <f t="shared" si="18"/>
        <v>0</v>
      </c>
      <c r="J127" s="1027">
        <f t="shared" si="19"/>
        <v>0</v>
      </c>
      <c r="K127" s="1027">
        <f t="shared" si="20"/>
        <v>0</v>
      </c>
      <c r="L127" s="1027">
        <f t="shared" si="21"/>
        <v>0</v>
      </c>
      <c r="M127" s="1027">
        <f t="shared" si="22"/>
        <v>0</v>
      </c>
      <c r="N127" s="1027">
        <f t="shared" si="23"/>
        <v>0</v>
      </c>
      <c r="O127" s="1027">
        <f t="shared" si="24"/>
        <v>0</v>
      </c>
      <c r="P127" s="1027">
        <f t="shared" si="25"/>
        <v>0</v>
      </c>
      <c r="Q127" s="1027">
        <f t="shared" si="26"/>
        <v>0</v>
      </c>
      <c r="R127" s="1027">
        <f t="shared" si="27"/>
        <v>0</v>
      </c>
      <c r="S127" s="1027">
        <f t="shared" si="28"/>
        <v>0</v>
      </c>
      <c r="T127" s="1027">
        <f t="shared" si="29"/>
        <v>0</v>
      </c>
    </row>
    <row r="128" spans="8:20">
      <c r="H128" s="984">
        <v>87</v>
      </c>
      <c r="I128" s="1027">
        <f t="shared" si="18"/>
        <v>0</v>
      </c>
      <c r="J128" s="1027">
        <f t="shared" si="19"/>
        <v>0</v>
      </c>
      <c r="K128" s="1027">
        <f t="shared" si="20"/>
        <v>0</v>
      </c>
      <c r="L128" s="1027">
        <f t="shared" si="21"/>
        <v>0</v>
      </c>
      <c r="M128" s="1027">
        <f t="shared" si="22"/>
        <v>0</v>
      </c>
      <c r="N128" s="1027">
        <f t="shared" si="23"/>
        <v>0</v>
      </c>
      <c r="O128" s="1027">
        <f t="shared" si="24"/>
        <v>0</v>
      </c>
      <c r="P128" s="1027">
        <f t="shared" si="25"/>
        <v>0</v>
      </c>
      <c r="Q128" s="1027">
        <f t="shared" si="26"/>
        <v>0</v>
      </c>
      <c r="R128" s="1027">
        <f t="shared" si="27"/>
        <v>0</v>
      </c>
      <c r="S128" s="1027">
        <f t="shared" si="28"/>
        <v>0</v>
      </c>
      <c r="T128" s="1027">
        <f t="shared" si="29"/>
        <v>0</v>
      </c>
    </row>
    <row r="129" spans="8:20">
      <c r="H129" s="984">
        <v>88</v>
      </c>
      <c r="I129" s="1027">
        <f t="shared" si="18"/>
        <v>0</v>
      </c>
      <c r="J129" s="1027">
        <f t="shared" si="19"/>
        <v>0</v>
      </c>
      <c r="K129" s="1027">
        <f t="shared" si="20"/>
        <v>0</v>
      </c>
      <c r="L129" s="1027">
        <f t="shared" si="21"/>
        <v>0</v>
      </c>
      <c r="M129" s="1027">
        <f t="shared" si="22"/>
        <v>0</v>
      </c>
      <c r="N129" s="1027">
        <f t="shared" si="23"/>
        <v>0</v>
      </c>
      <c r="O129" s="1027">
        <f t="shared" si="24"/>
        <v>0</v>
      </c>
      <c r="P129" s="1027">
        <f t="shared" si="25"/>
        <v>0</v>
      </c>
      <c r="Q129" s="1027">
        <f t="shared" si="26"/>
        <v>0</v>
      </c>
      <c r="R129" s="1027">
        <f t="shared" si="27"/>
        <v>0</v>
      </c>
      <c r="S129" s="1027">
        <f t="shared" si="28"/>
        <v>0</v>
      </c>
      <c r="T129" s="1027">
        <f t="shared" si="29"/>
        <v>0</v>
      </c>
    </row>
    <row r="130" spans="8:20">
      <c r="H130" s="984">
        <v>89</v>
      </c>
      <c r="I130" s="1027">
        <f t="shared" si="18"/>
        <v>0</v>
      </c>
      <c r="J130" s="1027">
        <f t="shared" si="19"/>
        <v>0</v>
      </c>
      <c r="K130" s="1027">
        <f t="shared" si="20"/>
        <v>0</v>
      </c>
      <c r="L130" s="1027">
        <f t="shared" si="21"/>
        <v>0</v>
      </c>
      <c r="M130" s="1027">
        <f t="shared" si="22"/>
        <v>0</v>
      </c>
      <c r="N130" s="1027">
        <f t="shared" si="23"/>
        <v>0</v>
      </c>
      <c r="O130" s="1027">
        <f t="shared" si="24"/>
        <v>0</v>
      </c>
      <c r="P130" s="1027">
        <f t="shared" si="25"/>
        <v>0</v>
      </c>
      <c r="Q130" s="1027">
        <f t="shared" si="26"/>
        <v>0</v>
      </c>
      <c r="R130" s="1027">
        <f t="shared" si="27"/>
        <v>0</v>
      </c>
      <c r="S130" s="1027">
        <f t="shared" si="28"/>
        <v>0</v>
      </c>
      <c r="T130" s="1027">
        <f t="shared" si="29"/>
        <v>0</v>
      </c>
    </row>
    <row r="131" spans="8:20">
      <c r="H131" s="984">
        <v>90</v>
      </c>
      <c r="I131" s="1027">
        <f t="shared" si="18"/>
        <v>0</v>
      </c>
      <c r="J131" s="1027">
        <f t="shared" si="19"/>
        <v>0</v>
      </c>
      <c r="K131" s="1027">
        <f t="shared" si="20"/>
        <v>0</v>
      </c>
      <c r="L131" s="1027">
        <f t="shared" si="21"/>
        <v>0</v>
      </c>
      <c r="M131" s="1027">
        <f t="shared" si="22"/>
        <v>0</v>
      </c>
      <c r="N131" s="1027">
        <f t="shared" si="23"/>
        <v>0</v>
      </c>
      <c r="O131" s="1027">
        <f t="shared" si="24"/>
        <v>0</v>
      </c>
      <c r="P131" s="1027">
        <f t="shared" si="25"/>
        <v>0</v>
      </c>
      <c r="Q131" s="1027">
        <f t="shared" si="26"/>
        <v>0</v>
      </c>
      <c r="R131" s="1027">
        <f t="shared" si="27"/>
        <v>0</v>
      </c>
      <c r="S131" s="1027">
        <f t="shared" si="28"/>
        <v>0</v>
      </c>
      <c r="T131" s="1027">
        <f t="shared" si="29"/>
        <v>0</v>
      </c>
    </row>
    <row r="132" spans="8:20">
      <c r="H132" s="984">
        <v>91</v>
      </c>
      <c r="I132" s="1027">
        <f t="shared" si="18"/>
        <v>0</v>
      </c>
      <c r="J132" s="1027">
        <f t="shared" si="19"/>
        <v>0</v>
      </c>
      <c r="K132" s="1027">
        <f t="shared" si="20"/>
        <v>0</v>
      </c>
      <c r="L132" s="1027">
        <f t="shared" si="21"/>
        <v>0</v>
      </c>
      <c r="M132" s="1027">
        <f t="shared" si="22"/>
        <v>0</v>
      </c>
      <c r="N132" s="1027">
        <f t="shared" si="23"/>
        <v>0</v>
      </c>
      <c r="O132" s="1027">
        <f t="shared" si="24"/>
        <v>0</v>
      </c>
      <c r="P132" s="1027">
        <f t="shared" si="25"/>
        <v>0</v>
      </c>
      <c r="Q132" s="1027">
        <f t="shared" si="26"/>
        <v>0</v>
      </c>
      <c r="R132" s="1027">
        <f t="shared" si="27"/>
        <v>0</v>
      </c>
      <c r="S132" s="1027">
        <f t="shared" si="28"/>
        <v>0</v>
      </c>
      <c r="T132" s="1027">
        <f t="shared" si="29"/>
        <v>0</v>
      </c>
    </row>
    <row r="133" spans="8:20">
      <c r="H133" s="984">
        <v>92</v>
      </c>
      <c r="I133" s="1027">
        <f t="shared" si="18"/>
        <v>0</v>
      </c>
      <c r="J133" s="1027">
        <f t="shared" si="19"/>
        <v>0</v>
      </c>
      <c r="K133" s="1027">
        <f t="shared" si="20"/>
        <v>0</v>
      </c>
      <c r="L133" s="1027">
        <f t="shared" si="21"/>
        <v>0</v>
      </c>
      <c r="M133" s="1027">
        <f t="shared" si="22"/>
        <v>0</v>
      </c>
      <c r="N133" s="1027">
        <f t="shared" si="23"/>
        <v>0</v>
      </c>
      <c r="O133" s="1027">
        <f t="shared" si="24"/>
        <v>0</v>
      </c>
      <c r="P133" s="1027">
        <f t="shared" si="25"/>
        <v>0</v>
      </c>
      <c r="Q133" s="1027">
        <f t="shared" si="26"/>
        <v>0</v>
      </c>
      <c r="R133" s="1027">
        <f t="shared" si="27"/>
        <v>0</v>
      </c>
      <c r="S133" s="1027">
        <f t="shared" si="28"/>
        <v>0</v>
      </c>
      <c r="T133" s="1027">
        <f t="shared" si="29"/>
        <v>0</v>
      </c>
    </row>
    <row r="134" spans="8:20">
      <c r="H134" s="984">
        <v>93</v>
      </c>
      <c r="I134" s="1027">
        <f t="shared" si="18"/>
        <v>0</v>
      </c>
      <c r="J134" s="1027">
        <f t="shared" si="19"/>
        <v>0</v>
      </c>
      <c r="K134" s="1027">
        <f t="shared" si="20"/>
        <v>0</v>
      </c>
      <c r="L134" s="1027">
        <f t="shared" si="21"/>
        <v>0</v>
      </c>
      <c r="M134" s="1027">
        <f t="shared" si="22"/>
        <v>0</v>
      </c>
      <c r="N134" s="1027">
        <f t="shared" si="23"/>
        <v>0</v>
      </c>
      <c r="O134" s="1027">
        <f t="shared" si="24"/>
        <v>0</v>
      </c>
      <c r="P134" s="1027">
        <f t="shared" si="25"/>
        <v>0</v>
      </c>
      <c r="Q134" s="1027">
        <f t="shared" si="26"/>
        <v>0</v>
      </c>
      <c r="R134" s="1027">
        <f t="shared" si="27"/>
        <v>0</v>
      </c>
      <c r="S134" s="1027">
        <f t="shared" si="28"/>
        <v>0</v>
      </c>
      <c r="T134" s="1027">
        <f t="shared" si="29"/>
        <v>0</v>
      </c>
    </row>
    <row r="135" spans="8:20">
      <c r="H135" s="984">
        <v>94</v>
      </c>
      <c r="I135" s="1027">
        <f t="shared" si="18"/>
        <v>0</v>
      </c>
      <c r="J135" s="1027">
        <f t="shared" si="19"/>
        <v>0</v>
      </c>
      <c r="K135" s="1027">
        <f t="shared" si="20"/>
        <v>0</v>
      </c>
      <c r="L135" s="1027">
        <f t="shared" si="21"/>
        <v>0</v>
      </c>
      <c r="M135" s="1027">
        <f t="shared" si="22"/>
        <v>0</v>
      </c>
      <c r="N135" s="1027">
        <f t="shared" si="23"/>
        <v>0</v>
      </c>
      <c r="O135" s="1027">
        <f t="shared" si="24"/>
        <v>0</v>
      </c>
      <c r="P135" s="1027">
        <f t="shared" si="25"/>
        <v>0</v>
      </c>
      <c r="Q135" s="1027">
        <f t="shared" si="26"/>
        <v>0</v>
      </c>
      <c r="R135" s="1027">
        <f t="shared" si="27"/>
        <v>0</v>
      </c>
      <c r="S135" s="1027">
        <f t="shared" si="28"/>
        <v>0</v>
      </c>
      <c r="T135" s="1027">
        <f t="shared" si="29"/>
        <v>0</v>
      </c>
    </row>
    <row r="136" spans="8:20">
      <c r="H136" s="984">
        <v>95</v>
      </c>
      <c r="I136" s="1027">
        <f t="shared" si="18"/>
        <v>0</v>
      </c>
      <c r="J136" s="1027">
        <f t="shared" si="19"/>
        <v>0</v>
      </c>
      <c r="K136" s="1027">
        <f t="shared" si="20"/>
        <v>0</v>
      </c>
      <c r="L136" s="1027">
        <f t="shared" si="21"/>
        <v>0</v>
      </c>
      <c r="M136" s="1027">
        <f t="shared" si="22"/>
        <v>0</v>
      </c>
      <c r="N136" s="1027">
        <f t="shared" si="23"/>
        <v>0</v>
      </c>
      <c r="O136" s="1027">
        <f t="shared" si="24"/>
        <v>0</v>
      </c>
      <c r="P136" s="1027">
        <f t="shared" si="25"/>
        <v>0</v>
      </c>
      <c r="Q136" s="1027">
        <f t="shared" si="26"/>
        <v>0</v>
      </c>
      <c r="R136" s="1027">
        <f t="shared" si="27"/>
        <v>0</v>
      </c>
      <c r="S136" s="1027">
        <f t="shared" si="28"/>
        <v>0</v>
      </c>
      <c r="T136" s="1027">
        <f t="shared" si="29"/>
        <v>0</v>
      </c>
    </row>
    <row r="137" spans="8:20">
      <c r="H137" s="984">
        <v>96</v>
      </c>
      <c r="I137" s="1027">
        <f t="shared" si="18"/>
        <v>0</v>
      </c>
      <c r="J137" s="1027">
        <f t="shared" si="19"/>
        <v>0</v>
      </c>
      <c r="K137" s="1027">
        <f t="shared" si="20"/>
        <v>0</v>
      </c>
      <c r="L137" s="1027">
        <f t="shared" si="21"/>
        <v>0</v>
      </c>
      <c r="M137" s="1027">
        <f t="shared" si="22"/>
        <v>0</v>
      </c>
      <c r="N137" s="1027">
        <f t="shared" si="23"/>
        <v>0</v>
      </c>
      <c r="O137" s="1027">
        <f t="shared" si="24"/>
        <v>0</v>
      </c>
      <c r="P137" s="1027">
        <f t="shared" si="25"/>
        <v>0</v>
      </c>
      <c r="Q137" s="1027">
        <f t="shared" si="26"/>
        <v>0</v>
      </c>
      <c r="R137" s="1027">
        <f t="shared" si="27"/>
        <v>0</v>
      </c>
      <c r="S137" s="1027">
        <f t="shared" si="28"/>
        <v>0</v>
      </c>
      <c r="T137" s="1027">
        <f t="shared" si="29"/>
        <v>0</v>
      </c>
    </row>
    <row r="138" spans="8:20">
      <c r="H138" s="984">
        <v>97</v>
      </c>
      <c r="I138" s="1027">
        <f t="shared" si="18"/>
        <v>0</v>
      </c>
      <c r="J138" s="1027">
        <f t="shared" si="19"/>
        <v>0</v>
      </c>
      <c r="K138" s="1027">
        <f t="shared" si="20"/>
        <v>0</v>
      </c>
      <c r="L138" s="1027">
        <f t="shared" si="21"/>
        <v>0</v>
      </c>
      <c r="M138" s="1027">
        <f t="shared" si="22"/>
        <v>0</v>
      </c>
      <c r="N138" s="1027">
        <f t="shared" si="23"/>
        <v>0</v>
      </c>
      <c r="O138" s="1027">
        <f t="shared" si="24"/>
        <v>0</v>
      </c>
      <c r="P138" s="1027">
        <f t="shared" si="25"/>
        <v>0</v>
      </c>
      <c r="Q138" s="1027">
        <f t="shared" si="26"/>
        <v>0</v>
      </c>
      <c r="R138" s="1027">
        <f t="shared" si="27"/>
        <v>0</v>
      </c>
      <c r="S138" s="1027">
        <f t="shared" si="28"/>
        <v>0</v>
      </c>
      <c r="T138" s="1027">
        <f t="shared" si="29"/>
        <v>0</v>
      </c>
    </row>
    <row r="139" spans="8:20">
      <c r="H139" s="984">
        <v>98</v>
      </c>
      <c r="I139" s="1027">
        <f t="shared" si="18"/>
        <v>0</v>
      </c>
      <c r="J139" s="1027">
        <f t="shared" si="19"/>
        <v>0</v>
      </c>
      <c r="K139" s="1027">
        <f t="shared" si="20"/>
        <v>0</v>
      </c>
      <c r="L139" s="1027">
        <f t="shared" si="21"/>
        <v>0</v>
      </c>
      <c r="M139" s="1027">
        <f t="shared" si="22"/>
        <v>0</v>
      </c>
      <c r="N139" s="1027">
        <f t="shared" si="23"/>
        <v>0</v>
      </c>
      <c r="O139" s="1027">
        <f t="shared" si="24"/>
        <v>0</v>
      </c>
      <c r="P139" s="1027">
        <f t="shared" si="25"/>
        <v>0</v>
      </c>
      <c r="Q139" s="1027">
        <f t="shared" si="26"/>
        <v>0</v>
      </c>
      <c r="R139" s="1027">
        <f t="shared" si="27"/>
        <v>0</v>
      </c>
      <c r="S139" s="1027">
        <f t="shared" si="28"/>
        <v>0</v>
      </c>
      <c r="T139" s="1027">
        <f t="shared" si="29"/>
        <v>0</v>
      </c>
    </row>
    <row r="140" spans="8:20">
      <c r="H140" s="984">
        <v>99</v>
      </c>
      <c r="I140" s="1027">
        <f t="shared" si="18"/>
        <v>0</v>
      </c>
      <c r="J140" s="1027">
        <f t="shared" si="19"/>
        <v>0</v>
      </c>
      <c r="K140" s="1027">
        <f t="shared" si="20"/>
        <v>0</v>
      </c>
      <c r="L140" s="1027">
        <f t="shared" si="21"/>
        <v>0</v>
      </c>
      <c r="M140" s="1027">
        <f t="shared" si="22"/>
        <v>0</v>
      </c>
      <c r="N140" s="1027">
        <f t="shared" si="23"/>
        <v>0</v>
      </c>
      <c r="O140" s="1027">
        <f t="shared" si="24"/>
        <v>0</v>
      </c>
      <c r="P140" s="1027">
        <f t="shared" si="25"/>
        <v>0</v>
      </c>
      <c r="Q140" s="1027">
        <f t="shared" si="26"/>
        <v>0</v>
      </c>
      <c r="R140" s="1027">
        <f t="shared" si="27"/>
        <v>0</v>
      </c>
      <c r="S140" s="1027">
        <f t="shared" si="28"/>
        <v>0</v>
      </c>
      <c r="T140" s="1027">
        <f t="shared" si="29"/>
        <v>0</v>
      </c>
    </row>
    <row r="141" spans="8:20">
      <c r="H141" s="984">
        <v>100</v>
      </c>
      <c r="I141" s="1027">
        <f t="shared" si="18"/>
        <v>0</v>
      </c>
      <c r="J141" s="1027">
        <f t="shared" si="19"/>
        <v>0</v>
      </c>
      <c r="K141" s="1027">
        <f t="shared" si="20"/>
        <v>0</v>
      </c>
      <c r="L141" s="1027">
        <f t="shared" si="21"/>
        <v>0</v>
      </c>
      <c r="M141" s="1027">
        <f t="shared" si="22"/>
        <v>0</v>
      </c>
      <c r="N141" s="1027">
        <f t="shared" si="23"/>
        <v>0</v>
      </c>
      <c r="O141" s="1027">
        <f t="shared" si="24"/>
        <v>0</v>
      </c>
      <c r="P141" s="1027">
        <f t="shared" si="25"/>
        <v>0</v>
      </c>
      <c r="Q141" s="1027">
        <f t="shared" si="26"/>
        <v>0</v>
      </c>
      <c r="R141" s="1027">
        <f t="shared" si="27"/>
        <v>0</v>
      </c>
      <c r="S141" s="1027">
        <f t="shared" si="28"/>
        <v>0</v>
      </c>
      <c r="T141" s="1027">
        <f t="shared" si="29"/>
        <v>0</v>
      </c>
    </row>
    <row r="142" spans="8:20">
      <c r="H142" s="984">
        <v>101</v>
      </c>
      <c r="I142" s="1027">
        <f t="shared" si="18"/>
        <v>0</v>
      </c>
      <c r="J142" s="1027">
        <f t="shared" si="19"/>
        <v>0</v>
      </c>
      <c r="K142" s="1027">
        <f t="shared" si="20"/>
        <v>0</v>
      </c>
      <c r="L142" s="1027">
        <f t="shared" si="21"/>
        <v>0</v>
      </c>
      <c r="M142" s="1027">
        <f t="shared" si="22"/>
        <v>0</v>
      </c>
      <c r="N142" s="1027">
        <f t="shared" si="23"/>
        <v>0</v>
      </c>
      <c r="O142" s="1027">
        <f t="shared" si="24"/>
        <v>0</v>
      </c>
      <c r="P142" s="1027">
        <f t="shared" si="25"/>
        <v>0</v>
      </c>
      <c r="Q142" s="1027">
        <f t="shared" si="26"/>
        <v>0</v>
      </c>
      <c r="R142" s="1027">
        <f t="shared" si="27"/>
        <v>0</v>
      </c>
      <c r="S142" s="1027">
        <f t="shared" si="28"/>
        <v>0</v>
      </c>
      <c r="T142" s="1027">
        <f t="shared" si="29"/>
        <v>0</v>
      </c>
    </row>
    <row r="143" spans="8:20">
      <c r="H143" s="984">
        <v>102</v>
      </c>
      <c r="I143" s="1027">
        <f t="shared" si="18"/>
        <v>0</v>
      </c>
      <c r="J143" s="1027">
        <f t="shared" si="19"/>
        <v>0</v>
      </c>
      <c r="K143" s="1027">
        <f t="shared" si="20"/>
        <v>0</v>
      </c>
      <c r="L143" s="1027">
        <f t="shared" si="21"/>
        <v>0</v>
      </c>
      <c r="M143" s="1027">
        <f t="shared" si="22"/>
        <v>0</v>
      </c>
      <c r="N143" s="1027">
        <f t="shared" si="23"/>
        <v>0</v>
      </c>
      <c r="O143" s="1027">
        <f t="shared" si="24"/>
        <v>0</v>
      </c>
      <c r="P143" s="1027">
        <f t="shared" si="25"/>
        <v>0</v>
      </c>
      <c r="Q143" s="1027">
        <f t="shared" si="26"/>
        <v>0</v>
      </c>
      <c r="R143" s="1027">
        <f t="shared" si="27"/>
        <v>0</v>
      </c>
      <c r="S143" s="1027">
        <f t="shared" si="28"/>
        <v>0</v>
      </c>
      <c r="T143" s="1027">
        <f t="shared" si="29"/>
        <v>0</v>
      </c>
    </row>
    <row r="144" spans="8:20">
      <c r="H144" s="984">
        <v>103</v>
      </c>
      <c r="I144" s="1027">
        <f t="shared" si="18"/>
        <v>0</v>
      </c>
      <c r="J144" s="1027">
        <f t="shared" si="19"/>
        <v>0</v>
      </c>
      <c r="K144" s="1027">
        <f t="shared" si="20"/>
        <v>0</v>
      </c>
      <c r="L144" s="1027">
        <f t="shared" si="21"/>
        <v>0</v>
      </c>
      <c r="M144" s="1027">
        <f t="shared" si="22"/>
        <v>0</v>
      </c>
      <c r="N144" s="1027">
        <f t="shared" si="23"/>
        <v>0</v>
      </c>
      <c r="O144" s="1027">
        <f t="shared" si="24"/>
        <v>0</v>
      </c>
      <c r="P144" s="1027">
        <f t="shared" si="25"/>
        <v>0</v>
      </c>
      <c r="Q144" s="1027">
        <f t="shared" si="26"/>
        <v>0</v>
      </c>
      <c r="R144" s="1027">
        <f t="shared" si="27"/>
        <v>0</v>
      </c>
      <c r="S144" s="1027">
        <f t="shared" si="28"/>
        <v>0</v>
      </c>
      <c r="T144" s="1027">
        <f t="shared" si="29"/>
        <v>0</v>
      </c>
    </row>
    <row r="145" spans="8:20">
      <c r="H145" s="984">
        <v>104</v>
      </c>
      <c r="I145" s="1027">
        <f t="shared" si="18"/>
        <v>0</v>
      </c>
      <c r="J145" s="1027">
        <f t="shared" si="19"/>
        <v>0</v>
      </c>
      <c r="K145" s="1027">
        <f t="shared" si="20"/>
        <v>0</v>
      </c>
      <c r="L145" s="1027">
        <f t="shared" si="21"/>
        <v>0</v>
      </c>
      <c r="M145" s="1027">
        <f t="shared" si="22"/>
        <v>0</v>
      </c>
      <c r="N145" s="1027">
        <f t="shared" si="23"/>
        <v>0</v>
      </c>
      <c r="O145" s="1027">
        <f t="shared" si="24"/>
        <v>0</v>
      </c>
      <c r="P145" s="1027">
        <f t="shared" si="25"/>
        <v>0</v>
      </c>
      <c r="Q145" s="1027">
        <f t="shared" si="26"/>
        <v>0</v>
      </c>
      <c r="R145" s="1027">
        <f t="shared" si="27"/>
        <v>0</v>
      </c>
      <c r="S145" s="1027">
        <f t="shared" si="28"/>
        <v>0</v>
      </c>
      <c r="T145" s="1027">
        <f t="shared" si="29"/>
        <v>0</v>
      </c>
    </row>
    <row r="146" spans="8:20">
      <c r="H146" s="984">
        <v>105</v>
      </c>
      <c r="I146" s="1027">
        <f t="shared" si="18"/>
        <v>0</v>
      </c>
      <c r="J146" s="1027">
        <f t="shared" si="19"/>
        <v>0</v>
      </c>
      <c r="K146" s="1027">
        <f t="shared" si="20"/>
        <v>0</v>
      </c>
      <c r="L146" s="1027">
        <f t="shared" si="21"/>
        <v>0</v>
      </c>
      <c r="M146" s="1027">
        <f t="shared" si="22"/>
        <v>0</v>
      </c>
      <c r="N146" s="1027">
        <f t="shared" si="23"/>
        <v>0</v>
      </c>
      <c r="O146" s="1027">
        <f t="shared" si="24"/>
        <v>0</v>
      </c>
      <c r="P146" s="1027">
        <f t="shared" si="25"/>
        <v>0</v>
      </c>
      <c r="Q146" s="1027">
        <f t="shared" si="26"/>
        <v>0</v>
      </c>
      <c r="R146" s="1027">
        <f t="shared" si="27"/>
        <v>0</v>
      </c>
      <c r="S146" s="1027">
        <f t="shared" si="28"/>
        <v>0</v>
      </c>
      <c r="T146" s="1027">
        <f t="shared" si="29"/>
        <v>0</v>
      </c>
    </row>
    <row r="147" spans="8:20">
      <c r="H147" s="984">
        <v>106</v>
      </c>
      <c r="I147" s="1027">
        <f t="shared" si="18"/>
        <v>0</v>
      </c>
      <c r="J147" s="1027">
        <f t="shared" si="19"/>
        <v>0</v>
      </c>
      <c r="K147" s="1027">
        <f t="shared" si="20"/>
        <v>0</v>
      </c>
      <c r="L147" s="1027">
        <f t="shared" si="21"/>
        <v>0</v>
      </c>
      <c r="M147" s="1027">
        <f t="shared" si="22"/>
        <v>0</v>
      </c>
      <c r="N147" s="1027">
        <f t="shared" si="23"/>
        <v>0</v>
      </c>
      <c r="O147" s="1027">
        <f t="shared" si="24"/>
        <v>0</v>
      </c>
      <c r="P147" s="1027">
        <f t="shared" si="25"/>
        <v>0</v>
      </c>
      <c r="Q147" s="1027">
        <f t="shared" si="26"/>
        <v>0</v>
      </c>
      <c r="R147" s="1027">
        <f t="shared" si="27"/>
        <v>0</v>
      </c>
      <c r="S147" s="1027">
        <f t="shared" si="28"/>
        <v>0</v>
      </c>
      <c r="T147" s="1027">
        <f t="shared" si="29"/>
        <v>0</v>
      </c>
    </row>
    <row r="148" spans="8:20">
      <c r="H148" s="984">
        <v>107</v>
      </c>
      <c r="I148" s="1027">
        <f t="shared" si="18"/>
        <v>0</v>
      </c>
      <c r="J148" s="1027">
        <f t="shared" si="19"/>
        <v>0</v>
      </c>
      <c r="K148" s="1027">
        <f t="shared" si="20"/>
        <v>0</v>
      </c>
      <c r="L148" s="1027">
        <f t="shared" si="21"/>
        <v>0</v>
      </c>
      <c r="M148" s="1027">
        <f t="shared" si="22"/>
        <v>0</v>
      </c>
      <c r="N148" s="1027">
        <f t="shared" si="23"/>
        <v>0</v>
      </c>
      <c r="O148" s="1027">
        <f t="shared" si="24"/>
        <v>0</v>
      </c>
      <c r="P148" s="1027">
        <f t="shared" si="25"/>
        <v>0</v>
      </c>
      <c r="Q148" s="1027">
        <f t="shared" si="26"/>
        <v>0</v>
      </c>
      <c r="R148" s="1027">
        <f t="shared" si="27"/>
        <v>0</v>
      </c>
      <c r="S148" s="1027">
        <f t="shared" si="28"/>
        <v>0</v>
      </c>
      <c r="T148" s="1027">
        <f t="shared" si="29"/>
        <v>0</v>
      </c>
    </row>
    <row r="149" spans="8:20">
      <c r="H149" s="984">
        <v>108</v>
      </c>
      <c r="I149" s="1027">
        <f t="shared" si="18"/>
        <v>0</v>
      </c>
      <c r="J149" s="1027">
        <f t="shared" si="19"/>
        <v>0</v>
      </c>
      <c r="K149" s="1027">
        <f t="shared" si="20"/>
        <v>0</v>
      </c>
      <c r="L149" s="1027">
        <f t="shared" si="21"/>
        <v>0</v>
      </c>
      <c r="M149" s="1027">
        <f t="shared" si="22"/>
        <v>0</v>
      </c>
      <c r="N149" s="1027">
        <f t="shared" si="23"/>
        <v>0</v>
      </c>
      <c r="O149" s="1027">
        <f t="shared" si="24"/>
        <v>0</v>
      </c>
      <c r="P149" s="1027">
        <f t="shared" si="25"/>
        <v>0</v>
      </c>
      <c r="Q149" s="1027">
        <f t="shared" si="26"/>
        <v>0</v>
      </c>
      <c r="R149" s="1027">
        <f t="shared" si="27"/>
        <v>0</v>
      </c>
      <c r="S149" s="1027">
        <f t="shared" si="28"/>
        <v>0</v>
      </c>
      <c r="T149" s="1027">
        <f t="shared" si="29"/>
        <v>0</v>
      </c>
    </row>
    <row r="150" spans="8:20">
      <c r="H150" s="984">
        <v>109</v>
      </c>
      <c r="I150" s="1027">
        <f t="shared" si="18"/>
        <v>0</v>
      </c>
      <c r="J150" s="1027">
        <f t="shared" si="19"/>
        <v>0</v>
      </c>
      <c r="K150" s="1027">
        <f t="shared" si="20"/>
        <v>0</v>
      </c>
      <c r="L150" s="1027">
        <f t="shared" si="21"/>
        <v>0</v>
      </c>
      <c r="M150" s="1027">
        <f t="shared" si="22"/>
        <v>0</v>
      </c>
      <c r="N150" s="1027">
        <f t="shared" si="23"/>
        <v>0</v>
      </c>
      <c r="O150" s="1027">
        <f t="shared" si="24"/>
        <v>0</v>
      </c>
      <c r="P150" s="1027">
        <f t="shared" si="25"/>
        <v>0</v>
      </c>
      <c r="Q150" s="1027">
        <f t="shared" si="26"/>
        <v>0</v>
      </c>
      <c r="R150" s="1027">
        <f t="shared" si="27"/>
        <v>0</v>
      </c>
      <c r="S150" s="1027">
        <f t="shared" si="28"/>
        <v>0</v>
      </c>
      <c r="T150" s="1027">
        <f t="shared" si="29"/>
        <v>0</v>
      </c>
    </row>
    <row r="151" spans="8:20">
      <c r="H151" s="984">
        <v>110</v>
      </c>
      <c r="I151" s="1027">
        <f t="shared" si="18"/>
        <v>0</v>
      </c>
      <c r="J151" s="1027">
        <f t="shared" si="19"/>
        <v>0</v>
      </c>
      <c r="K151" s="1027">
        <f t="shared" si="20"/>
        <v>0</v>
      </c>
      <c r="L151" s="1027">
        <f t="shared" si="21"/>
        <v>0</v>
      </c>
      <c r="M151" s="1027">
        <f t="shared" si="22"/>
        <v>0</v>
      </c>
      <c r="N151" s="1027">
        <f t="shared" si="23"/>
        <v>0</v>
      </c>
      <c r="O151" s="1027">
        <f t="shared" si="24"/>
        <v>0</v>
      </c>
      <c r="P151" s="1027">
        <f t="shared" si="25"/>
        <v>0</v>
      </c>
      <c r="Q151" s="1027">
        <f t="shared" si="26"/>
        <v>0</v>
      </c>
      <c r="R151" s="1027">
        <f t="shared" si="27"/>
        <v>0</v>
      </c>
      <c r="S151" s="1027">
        <f t="shared" si="28"/>
        <v>0</v>
      </c>
      <c r="T151" s="1027">
        <f t="shared" si="29"/>
        <v>0</v>
      </c>
    </row>
    <row r="152" spans="8:20">
      <c r="H152" s="984">
        <v>111</v>
      </c>
      <c r="I152" s="1027">
        <f t="shared" si="18"/>
        <v>0</v>
      </c>
      <c r="J152" s="1027">
        <f t="shared" si="19"/>
        <v>0</v>
      </c>
      <c r="K152" s="1027">
        <f t="shared" si="20"/>
        <v>0</v>
      </c>
      <c r="L152" s="1027">
        <f t="shared" si="21"/>
        <v>0</v>
      </c>
      <c r="M152" s="1027">
        <f t="shared" si="22"/>
        <v>0</v>
      </c>
      <c r="N152" s="1027">
        <f t="shared" si="23"/>
        <v>0</v>
      </c>
      <c r="O152" s="1027">
        <f t="shared" si="24"/>
        <v>0</v>
      </c>
      <c r="P152" s="1027">
        <f t="shared" si="25"/>
        <v>0</v>
      </c>
      <c r="Q152" s="1027">
        <f t="shared" si="26"/>
        <v>0</v>
      </c>
      <c r="R152" s="1027">
        <f t="shared" si="27"/>
        <v>0</v>
      </c>
      <c r="S152" s="1027">
        <f t="shared" si="28"/>
        <v>0</v>
      </c>
      <c r="T152" s="1027">
        <f t="shared" si="29"/>
        <v>0</v>
      </c>
    </row>
    <row r="153" spans="8:20">
      <c r="H153" s="984">
        <v>112</v>
      </c>
      <c r="I153" s="1027">
        <f t="shared" si="18"/>
        <v>0</v>
      </c>
      <c r="J153" s="1027">
        <f t="shared" si="19"/>
        <v>0</v>
      </c>
      <c r="K153" s="1027">
        <f t="shared" si="20"/>
        <v>0</v>
      </c>
      <c r="L153" s="1027">
        <f t="shared" si="21"/>
        <v>0</v>
      </c>
      <c r="M153" s="1027">
        <f t="shared" si="22"/>
        <v>0</v>
      </c>
      <c r="N153" s="1027">
        <f t="shared" si="23"/>
        <v>0</v>
      </c>
      <c r="O153" s="1027">
        <f t="shared" si="24"/>
        <v>0</v>
      </c>
      <c r="P153" s="1027">
        <f t="shared" si="25"/>
        <v>0</v>
      </c>
      <c r="Q153" s="1027">
        <f t="shared" si="26"/>
        <v>0</v>
      </c>
      <c r="R153" s="1027">
        <f t="shared" si="27"/>
        <v>0</v>
      </c>
      <c r="S153" s="1027">
        <f t="shared" si="28"/>
        <v>0</v>
      </c>
      <c r="T153" s="1027">
        <f t="shared" si="29"/>
        <v>0</v>
      </c>
    </row>
    <row r="154" spans="8:20">
      <c r="H154" s="984">
        <v>113</v>
      </c>
      <c r="I154" s="1027">
        <f t="shared" si="18"/>
        <v>0</v>
      </c>
      <c r="J154" s="1027">
        <f t="shared" si="19"/>
        <v>0</v>
      </c>
      <c r="K154" s="1027">
        <f t="shared" si="20"/>
        <v>0</v>
      </c>
      <c r="L154" s="1027">
        <f t="shared" si="21"/>
        <v>0</v>
      </c>
      <c r="M154" s="1027">
        <f t="shared" si="22"/>
        <v>0</v>
      </c>
      <c r="N154" s="1027">
        <f t="shared" si="23"/>
        <v>0</v>
      </c>
      <c r="O154" s="1027">
        <f t="shared" si="24"/>
        <v>0</v>
      </c>
      <c r="P154" s="1027">
        <f t="shared" si="25"/>
        <v>0</v>
      </c>
      <c r="Q154" s="1027">
        <f t="shared" si="26"/>
        <v>0</v>
      </c>
      <c r="R154" s="1027">
        <f t="shared" si="27"/>
        <v>0</v>
      </c>
      <c r="S154" s="1027">
        <f t="shared" si="28"/>
        <v>0</v>
      </c>
      <c r="T154" s="1027">
        <f t="shared" si="29"/>
        <v>0</v>
      </c>
    </row>
    <row r="155" spans="8:20">
      <c r="H155" s="984">
        <v>114</v>
      </c>
      <c r="I155" s="1027">
        <f t="shared" si="18"/>
        <v>0</v>
      </c>
      <c r="J155" s="1027">
        <f t="shared" si="19"/>
        <v>0</v>
      </c>
      <c r="K155" s="1027">
        <f t="shared" si="20"/>
        <v>0</v>
      </c>
      <c r="L155" s="1027">
        <f t="shared" si="21"/>
        <v>0</v>
      </c>
      <c r="M155" s="1027">
        <f t="shared" si="22"/>
        <v>0</v>
      </c>
      <c r="N155" s="1027">
        <f t="shared" si="23"/>
        <v>0</v>
      </c>
      <c r="O155" s="1027">
        <f t="shared" si="24"/>
        <v>0</v>
      </c>
      <c r="P155" s="1027">
        <f t="shared" si="25"/>
        <v>0</v>
      </c>
      <c r="Q155" s="1027">
        <f t="shared" si="26"/>
        <v>0</v>
      </c>
      <c r="R155" s="1027">
        <f t="shared" si="27"/>
        <v>0</v>
      </c>
      <c r="S155" s="1027">
        <f t="shared" si="28"/>
        <v>0</v>
      </c>
      <c r="T155" s="1027">
        <f t="shared" si="29"/>
        <v>0</v>
      </c>
    </row>
    <row r="156" spans="8:20">
      <c r="H156" s="984">
        <v>115</v>
      </c>
      <c r="I156" s="1027">
        <f t="shared" si="18"/>
        <v>0</v>
      </c>
      <c r="J156" s="1027">
        <f t="shared" si="19"/>
        <v>0</v>
      </c>
      <c r="K156" s="1027">
        <f t="shared" si="20"/>
        <v>0</v>
      </c>
      <c r="L156" s="1027">
        <f t="shared" si="21"/>
        <v>0</v>
      </c>
      <c r="M156" s="1027">
        <f t="shared" si="22"/>
        <v>0</v>
      </c>
      <c r="N156" s="1027">
        <f t="shared" si="23"/>
        <v>0</v>
      </c>
      <c r="O156" s="1027">
        <f t="shared" si="24"/>
        <v>0</v>
      </c>
      <c r="P156" s="1027">
        <f t="shared" si="25"/>
        <v>0</v>
      </c>
      <c r="Q156" s="1027">
        <f t="shared" si="26"/>
        <v>0</v>
      </c>
      <c r="R156" s="1027">
        <f t="shared" si="27"/>
        <v>0</v>
      </c>
      <c r="S156" s="1027">
        <f t="shared" si="28"/>
        <v>0</v>
      </c>
      <c r="T156" s="1027">
        <f t="shared" si="29"/>
        <v>0</v>
      </c>
    </row>
    <row r="157" spans="8:20">
      <c r="H157" s="984">
        <v>116</v>
      </c>
      <c r="I157" s="1027">
        <f t="shared" si="18"/>
        <v>0</v>
      </c>
      <c r="J157" s="1027">
        <f t="shared" si="19"/>
        <v>0</v>
      </c>
      <c r="K157" s="1027">
        <f t="shared" si="20"/>
        <v>0</v>
      </c>
      <c r="L157" s="1027">
        <f t="shared" si="21"/>
        <v>0</v>
      </c>
      <c r="M157" s="1027">
        <f t="shared" si="22"/>
        <v>0</v>
      </c>
      <c r="N157" s="1027">
        <f t="shared" si="23"/>
        <v>0</v>
      </c>
      <c r="O157" s="1027">
        <f t="shared" si="24"/>
        <v>0</v>
      </c>
      <c r="P157" s="1027">
        <f t="shared" si="25"/>
        <v>0</v>
      </c>
      <c r="Q157" s="1027">
        <f t="shared" si="26"/>
        <v>0</v>
      </c>
      <c r="R157" s="1027">
        <f t="shared" si="27"/>
        <v>0</v>
      </c>
      <c r="S157" s="1027">
        <f t="shared" si="28"/>
        <v>0</v>
      </c>
      <c r="T157" s="1027">
        <f t="shared" si="29"/>
        <v>0</v>
      </c>
    </row>
    <row r="158" spans="8:20">
      <c r="H158" s="984">
        <v>117</v>
      </c>
      <c r="I158" s="1027">
        <f t="shared" si="18"/>
        <v>0</v>
      </c>
      <c r="J158" s="1027">
        <f t="shared" si="19"/>
        <v>0</v>
      </c>
      <c r="K158" s="1027">
        <f t="shared" si="20"/>
        <v>0</v>
      </c>
      <c r="L158" s="1027">
        <f t="shared" si="21"/>
        <v>0</v>
      </c>
      <c r="M158" s="1027">
        <f t="shared" si="22"/>
        <v>0</v>
      </c>
      <c r="N158" s="1027">
        <f t="shared" si="23"/>
        <v>0</v>
      </c>
      <c r="O158" s="1027">
        <f t="shared" si="24"/>
        <v>0</v>
      </c>
      <c r="P158" s="1027">
        <f t="shared" si="25"/>
        <v>0</v>
      </c>
      <c r="Q158" s="1027">
        <f t="shared" si="26"/>
        <v>0</v>
      </c>
      <c r="R158" s="1027">
        <f t="shared" si="27"/>
        <v>0</v>
      </c>
      <c r="S158" s="1027">
        <f t="shared" si="28"/>
        <v>0</v>
      </c>
      <c r="T158" s="1027">
        <f t="shared" si="29"/>
        <v>0</v>
      </c>
    </row>
    <row r="159" spans="8:20">
      <c r="H159" s="984">
        <v>118</v>
      </c>
      <c r="I159" s="1027">
        <f t="shared" si="18"/>
        <v>0</v>
      </c>
      <c r="J159" s="1027">
        <f t="shared" si="19"/>
        <v>0</v>
      </c>
      <c r="K159" s="1027">
        <f t="shared" si="20"/>
        <v>0</v>
      </c>
      <c r="L159" s="1027">
        <f t="shared" si="21"/>
        <v>0</v>
      </c>
      <c r="M159" s="1027">
        <f t="shared" si="22"/>
        <v>0</v>
      </c>
      <c r="N159" s="1027">
        <f t="shared" si="23"/>
        <v>0</v>
      </c>
      <c r="O159" s="1027">
        <f t="shared" si="24"/>
        <v>0</v>
      </c>
      <c r="P159" s="1027">
        <f t="shared" si="25"/>
        <v>0</v>
      </c>
      <c r="Q159" s="1027">
        <f t="shared" si="26"/>
        <v>0</v>
      </c>
      <c r="R159" s="1027">
        <f t="shared" si="27"/>
        <v>0</v>
      </c>
      <c r="S159" s="1027">
        <f t="shared" si="28"/>
        <v>0</v>
      </c>
      <c r="T159" s="1027">
        <f t="shared" si="29"/>
        <v>0</v>
      </c>
    </row>
    <row r="160" spans="8:20">
      <c r="H160" s="984">
        <v>119</v>
      </c>
      <c r="I160" s="1027">
        <f t="shared" si="18"/>
        <v>0</v>
      </c>
      <c r="J160" s="1027">
        <f t="shared" si="19"/>
        <v>0</v>
      </c>
      <c r="K160" s="1027">
        <f t="shared" si="20"/>
        <v>0</v>
      </c>
      <c r="L160" s="1027">
        <f t="shared" si="21"/>
        <v>0</v>
      </c>
      <c r="M160" s="1027">
        <f t="shared" si="22"/>
        <v>0</v>
      </c>
      <c r="N160" s="1027">
        <f t="shared" si="23"/>
        <v>0</v>
      </c>
      <c r="O160" s="1027">
        <f t="shared" si="24"/>
        <v>0</v>
      </c>
      <c r="P160" s="1027">
        <f t="shared" si="25"/>
        <v>0</v>
      </c>
      <c r="Q160" s="1027">
        <f t="shared" si="26"/>
        <v>0</v>
      </c>
      <c r="R160" s="1027">
        <f t="shared" si="27"/>
        <v>0</v>
      </c>
      <c r="S160" s="1027">
        <f t="shared" si="28"/>
        <v>0</v>
      </c>
      <c r="T160" s="1027">
        <f t="shared" si="29"/>
        <v>0</v>
      </c>
    </row>
    <row r="161" spans="8:20">
      <c r="H161" s="984">
        <v>120</v>
      </c>
      <c r="I161" s="1027">
        <f t="shared" si="18"/>
        <v>0</v>
      </c>
      <c r="J161" s="1027">
        <f t="shared" si="19"/>
        <v>0</v>
      </c>
      <c r="K161" s="1027">
        <f t="shared" si="20"/>
        <v>0</v>
      </c>
      <c r="L161" s="1027">
        <f t="shared" si="21"/>
        <v>0</v>
      </c>
      <c r="M161" s="1027">
        <f t="shared" si="22"/>
        <v>0</v>
      </c>
      <c r="N161" s="1027">
        <f t="shared" si="23"/>
        <v>0</v>
      </c>
      <c r="O161" s="1027">
        <f t="shared" si="24"/>
        <v>0</v>
      </c>
      <c r="P161" s="1027">
        <f t="shared" si="25"/>
        <v>0</v>
      </c>
      <c r="Q161" s="1027">
        <f t="shared" si="26"/>
        <v>0</v>
      </c>
      <c r="R161" s="1027">
        <f t="shared" si="27"/>
        <v>0</v>
      </c>
      <c r="S161" s="1027">
        <f t="shared" si="28"/>
        <v>0</v>
      </c>
      <c r="T161" s="1027">
        <f t="shared" si="29"/>
        <v>0</v>
      </c>
    </row>
  </sheetData>
  <mergeCells count="1">
    <mergeCell ref="E6:F6"/>
  </mergeCells>
  <pageMargins left="0" right="0" top="1" bottom="1" header="0.5" footer="0.5"/>
  <pageSetup scale="85" orientation="portrait" r:id="rId1"/>
  <headerFooter alignWithMargins="0">
    <oddHeader>&amp;L&amp;"Times New Roman,Regular"&amp;11Subsidy Layering Review&amp;R&amp;"Times New Roman,Regular"&amp;P of &amp;N</oddHeader>
  </headerFooter>
  <rowBreaks count="1" manualBreakCount="1">
    <brk id="37" max="5"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P46"/>
  <sheetViews>
    <sheetView zoomScaleNormal="100" workbookViewId="0">
      <selection activeCell="R23" sqref="R23"/>
    </sheetView>
  </sheetViews>
  <sheetFormatPr defaultColWidth="9.140625" defaultRowHeight="12.75"/>
  <cols>
    <col min="1" max="1" width="7.42578125" style="389" customWidth="1"/>
    <col min="2" max="2" width="7.42578125" style="390" customWidth="1"/>
    <col min="3" max="4" width="10.42578125" style="391" customWidth="1"/>
    <col min="5" max="5" width="11" style="392" customWidth="1"/>
    <col min="6" max="6" width="17.85546875" style="391" customWidth="1"/>
    <col min="7" max="7" width="3.85546875" style="391" customWidth="1"/>
    <col min="8" max="8" width="11.140625" style="391" customWidth="1"/>
    <col min="9" max="10" width="10.28515625" style="391" customWidth="1"/>
    <col min="11" max="11" width="12.85546875" style="389" customWidth="1"/>
    <col min="12" max="16" width="0" style="389" hidden="1" customWidth="1"/>
    <col min="17" max="16384" width="9.140625" style="389"/>
  </cols>
  <sheetData>
    <row r="1" spans="1:16" s="388" customFormat="1" ht="15">
      <c r="A1" s="1958" t="str">
        <f>Setup!D7</f>
        <v>Enter Project Name Here</v>
      </c>
      <c r="B1" s="1958"/>
      <c r="C1" s="1958"/>
      <c r="D1" s="1958"/>
      <c r="E1" s="1461"/>
      <c r="F1" s="1462"/>
      <c r="G1" s="1462"/>
      <c r="H1" s="1462"/>
      <c r="I1" s="1462"/>
      <c r="J1" s="1462"/>
      <c r="K1" s="1463"/>
      <c r="L1" s="1463"/>
      <c r="M1" s="1463"/>
      <c r="N1" s="1463"/>
      <c r="O1" s="1463"/>
      <c r="P1" s="1463"/>
    </row>
    <row r="2" spans="1:16">
      <c r="C2" s="1464"/>
      <c r="D2" s="1464"/>
      <c r="E2" s="1465"/>
      <c r="F2" s="1464"/>
      <c r="G2" s="1464"/>
      <c r="H2" s="1959" t="s">
        <v>792</v>
      </c>
      <c r="I2" s="1959"/>
      <c r="J2" s="1959"/>
      <c r="K2" s="1959"/>
    </row>
    <row r="3" spans="1:16" s="393" customFormat="1" ht="25.5">
      <c r="A3" s="1466" t="s">
        <v>19</v>
      </c>
      <c r="B3" s="1467" t="s">
        <v>557</v>
      </c>
      <c r="C3" s="1468" t="s">
        <v>793</v>
      </c>
      <c r="D3" s="1468" t="s">
        <v>794</v>
      </c>
      <c r="E3" s="1469" t="s">
        <v>795</v>
      </c>
      <c r="F3" s="1468" t="s">
        <v>796</v>
      </c>
      <c r="G3" s="1468"/>
      <c r="H3" s="1468" t="s">
        <v>797</v>
      </c>
      <c r="I3" s="1468" t="s">
        <v>798</v>
      </c>
      <c r="J3" s="1468" t="s">
        <v>799</v>
      </c>
      <c r="K3" s="1467" t="s">
        <v>399</v>
      </c>
      <c r="L3" s="1470"/>
      <c r="M3" s="1471" t="s">
        <v>800</v>
      </c>
      <c r="N3" s="1470" t="s">
        <v>801</v>
      </c>
      <c r="O3" s="1470"/>
      <c r="P3" s="1470"/>
    </row>
    <row r="4" spans="1:16">
      <c r="A4" s="394" t="s">
        <v>802</v>
      </c>
      <c r="B4" s="395">
        <f ca="1">YEAR(Setup!R29)</f>
        <v>2024</v>
      </c>
      <c r="C4" s="1472">
        <f>IF('Units&amp;Income'!$AV$94=0,0,IF(MONTH(Setup!$R$29)=1,Setup!R30,0))</f>
        <v>0</v>
      </c>
      <c r="D4" s="1473">
        <v>0</v>
      </c>
      <c r="E4" s="1465" t="str">
        <f>IF('Units&amp;Income'!$AV$94=0,"",D4/'Units&amp;Income'!$AV$94)</f>
        <v/>
      </c>
      <c r="F4" s="1464">
        <f>IF($E$15=1,E4*'LIHTCs&amp;BLDGs'!$B$59/12,0)</f>
        <v>0</v>
      </c>
      <c r="G4" s="1464"/>
      <c r="H4" s="1474">
        <f>IF(E4&lt;1,E4*'Units&amp;Income'!$AW$98/12,0)</f>
        <v>0</v>
      </c>
      <c r="I4" s="1474">
        <f>IF(H4&gt;0,-Op_Costs!$G$62/12,0)</f>
        <v>0</v>
      </c>
      <c r="J4" s="1474">
        <f>IF(I4&lt;&gt;0,Sources!$J$70/-12,0)</f>
        <v>0</v>
      </c>
      <c r="K4" s="922">
        <f t="shared" ref="K4:K15" si="0">IF(H4+I4+J4&lt;0,H4+I4+J4,0)</f>
        <v>0</v>
      </c>
      <c r="L4" s="389">
        <f>IF(C4=0,0,1)</f>
        <v>0</v>
      </c>
      <c r="M4" s="389">
        <f>L4</f>
        <v>0</v>
      </c>
      <c r="N4" s="389">
        <f>IF(E4=1,A4+B4,0)</f>
        <v>0</v>
      </c>
      <c r="O4" s="389">
        <f>N4</f>
        <v>0</v>
      </c>
      <c r="P4" s="389">
        <f>IF(N4&gt;0,A4,0)</f>
        <v>0</v>
      </c>
    </row>
    <row r="5" spans="1:16">
      <c r="A5" s="394" t="s">
        <v>166</v>
      </c>
      <c r="B5" s="395">
        <f ca="1">B4</f>
        <v>2024</v>
      </c>
      <c r="C5" s="1472">
        <f>IF('Units&amp;Income'!$AV$94=0,0,IF(MONTH(Setup!$R$29)=2,Setup!$R$30,IF(D4+C4&gt;'Units&amp;Income'!$AV$94,'Units&amp;Income'!$AV$94-Lease_Up!D4,Lease_Up!C4)))</f>
        <v>0</v>
      </c>
      <c r="D5" s="1473">
        <f t="shared" ref="D5:D15" si="1">C5+D4</f>
        <v>0</v>
      </c>
      <c r="E5" s="1465" t="str">
        <f>IF('Units&amp;Income'!$AV$94=0,"",D5/'Units&amp;Income'!$AV$94)</f>
        <v/>
      </c>
      <c r="F5" s="1464">
        <f>IF($E$15=1,E5*'LIHTCs&amp;BLDGs'!$B$59/12,0)</f>
        <v>0</v>
      </c>
      <c r="G5" s="1464"/>
      <c r="H5" s="1474">
        <f>IF(E5&lt;1,E5*'Units&amp;Income'!$AW$98/12,0)</f>
        <v>0</v>
      </c>
      <c r="I5" s="1474">
        <f>IF(H5&gt;0,-Op_Costs!$G$62/12,0)</f>
        <v>0</v>
      </c>
      <c r="J5" s="1474">
        <f>IF(I5&lt;&gt;0,Sources!$J$70/-12,0)</f>
        <v>0</v>
      </c>
      <c r="K5" s="922">
        <f t="shared" si="0"/>
        <v>0</v>
      </c>
      <c r="L5" s="389">
        <f t="shared" ref="L5:L15" si="2">IF(C5=0,0,1)</f>
        <v>0</v>
      </c>
      <c r="M5" s="389">
        <f>L5+M4</f>
        <v>0</v>
      </c>
      <c r="N5" s="389">
        <f>IF(O4&gt;0,0,IF(E5=1,B5,0))</f>
        <v>0</v>
      </c>
      <c r="O5" s="389">
        <f>N5+O4</f>
        <v>0</v>
      </c>
      <c r="P5" s="389">
        <f>IF(P4&gt;0,P4,IF(N5&gt;0,A5,0))</f>
        <v>0</v>
      </c>
    </row>
    <row r="6" spans="1:16">
      <c r="A6" s="394" t="s">
        <v>803</v>
      </c>
      <c r="B6" s="395">
        <f t="shared" ref="B6:B15" ca="1" si="3">B5</f>
        <v>2024</v>
      </c>
      <c r="C6" s="1472">
        <f>IF('Units&amp;Income'!$AV$94=0,0,IF(MONTH(Setup!$R$29)=3,Setup!$R$30,IF(D5+C5&gt;'Units&amp;Income'!$AV$94,'Units&amp;Income'!$AV$94-Lease_Up!D5,Lease_Up!C5)))</f>
        <v>0</v>
      </c>
      <c r="D6" s="1473">
        <f t="shared" si="1"/>
        <v>0</v>
      </c>
      <c r="E6" s="1465" t="str">
        <f>IF('Units&amp;Income'!$AV$94=0,"",D6/'Units&amp;Income'!$AV$94)</f>
        <v/>
      </c>
      <c r="F6" s="1464">
        <f>IF($E$15=1,E6*'LIHTCs&amp;BLDGs'!$B$59/12,0)</f>
        <v>0</v>
      </c>
      <c r="G6" s="1464"/>
      <c r="H6" s="1474">
        <f>IF(E6&lt;1,E6*'Units&amp;Income'!$AW$98/12,0)</f>
        <v>0</v>
      </c>
      <c r="I6" s="1474">
        <f>IF(H6&gt;0,-Op_Costs!$G$62/12,0)</f>
        <v>0</v>
      </c>
      <c r="J6" s="1474">
        <f>IF(I6&lt;&gt;0,Sources!$J$70/-12,0)</f>
        <v>0</v>
      </c>
      <c r="K6" s="922">
        <f t="shared" si="0"/>
        <v>0</v>
      </c>
      <c r="L6" s="389">
        <f t="shared" si="2"/>
        <v>0</v>
      </c>
      <c r="M6" s="389">
        <f t="shared" ref="M6:M15" si="4">L6+M5</f>
        <v>0</v>
      </c>
      <c r="N6" s="389">
        <f t="shared" ref="N6:N43" si="5">IF(O5&gt;0,0,IF(E6=1,B6,0))</f>
        <v>0</v>
      </c>
      <c r="O6" s="389">
        <f t="shared" ref="O6:O43" si="6">N6+O5</f>
        <v>0</v>
      </c>
      <c r="P6" s="389">
        <f t="shared" ref="P6:P43" si="7">IF(P5&gt;0,P5,IF(N6&gt;0,A6,0))</f>
        <v>0</v>
      </c>
    </row>
    <row r="7" spans="1:16">
      <c r="A7" s="394" t="s">
        <v>804</v>
      </c>
      <c r="B7" s="395">
        <f t="shared" ca="1" si="3"/>
        <v>2024</v>
      </c>
      <c r="C7" s="1472">
        <f>IF('Units&amp;Income'!$AV$94=0,0,IF(MONTH(Setup!$R$29)=4,Setup!$R$30,IF(D6+C6&gt;'Units&amp;Income'!$AV$94,'Units&amp;Income'!$AV$94-Lease_Up!D6,Lease_Up!C6)))</f>
        <v>0</v>
      </c>
      <c r="D7" s="1473">
        <f t="shared" si="1"/>
        <v>0</v>
      </c>
      <c r="E7" s="1465" t="str">
        <f>IF('Units&amp;Income'!$AV$94=0,"",D7/'Units&amp;Income'!$AV$94)</f>
        <v/>
      </c>
      <c r="F7" s="1464">
        <f>IF($E$15=1,E7*'LIHTCs&amp;BLDGs'!$B$59/12,0)</f>
        <v>0</v>
      </c>
      <c r="G7" s="1464"/>
      <c r="H7" s="1474">
        <f>IF(E7&lt;1,E7*'Units&amp;Income'!$AW$98/12,0)</f>
        <v>0</v>
      </c>
      <c r="I7" s="1474">
        <f>IF(H7&gt;0,-Op_Costs!$G$62/12,0)</f>
        <v>0</v>
      </c>
      <c r="J7" s="1474">
        <f>IF(I7&lt;&gt;0,Sources!$J$70/-12,0)</f>
        <v>0</v>
      </c>
      <c r="K7" s="922">
        <f t="shared" si="0"/>
        <v>0</v>
      </c>
      <c r="L7" s="389">
        <f t="shared" si="2"/>
        <v>0</v>
      </c>
      <c r="M7" s="389">
        <f t="shared" si="4"/>
        <v>0</v>
      </c>
      <c r="N7" s="389">
        <f t="shared" si="5"/>
        <v>0</v>
      </c>
      <c r="O7" s="389">
        <f t="shared" si="6"/>
        <v>0</v>
      </c>
      <c r="P7" s="389">
        <f t="shared" si="7"/>
        <v>0</v>
      </c>
    </row>
    <row r="8" spans="1:16">
      <c r="A8" s="394" t="s">
        <v>805</v>
      </c>
      <c r="B8" s="395">
        <f t="shared" ca="1" si="3"/>
        <v>2024</v>
      </c>
      <c r="C8" s="1472">
        <f>IF('Units&amp;Income'!$AV$94=0,0,IF(MONTH(Setup!$R$29)=5,Setup!$R$30,IF(D7+C7&gt;'Units&amp;Income'!$AV$94,'Units&amp;Income'!$AV$94-Lease_Up!D7,Lease_Up!C7)))</f>
        <v>0</v>
      </c>
      <c r="D8" s="1473">
        <f t="shared" si="1"/>
        <v>0</v>
      </c>
      <c r="E8" s="1465" t="str">
        <f>IF('Units&amp;Income'!$AV$94=0,"",D8/'Units&amp;Income'!$AV$94)</f>
        <v/>
      </c>
      <c r="F8" s="1464">
        <f>IF($E$15=1,E8*'LIHTCs&amp;BLDGs'!$B$59/12,0)</f>
        <v>0</v>
      </c>
      <c r="G8" s="1464"/>
      <c r="H8" s="1474">
        <f>IF(E8&lt;1,E8*'Units&amp;Income'!$AW$98/12,0)</f>
        <v>0</v>
      </c>
      <c r="I8" s="1474">
        <f>IF(H8&gt;0,-Op_Costs!$G$62/12,0)</f>
        <v>0</v>
      </c>
      <c r="J8" s="1474">
        <f>IF(I8&lt;&gt;0,Sources!$J$70/-12,0)</f>
        <v>0</v>
      </c>
      <c r="K8" s="922">
        <f t="shared" si="0"/>
        <v>0</v>
      </c>
      <c r="L8" s="389">
        <f t="shared" si="2"/>
        <v>0</v>
      </c>
      <c r="M8" s="389">
        <f t="shared" si="4"/>
        <v>0</v>
      </c>
      <c r="N8" s="389">
        <f t="shared" si="5"/>
        <v>0</v>
      </c>
      <c r="O8" s="389">
        <f t="shared" si="6"/>
        <v>0</v>
      </c>
      <c r="P8" s="389">
        <f t="shared" si="7"/>
        <v>0</v>
      </c>
    </row>
    <row r="9" spans="1:16">
      <c r="A9" s="394" t="s">
        <v>806</v>
      </c>
      <c r="B9" s="395">
        <f t="shared" ca="1" si="3"/>
        <v>2024</v>
      </c>
      <c r="C9" s="1472">
        <f>IF('Units&amp;Income'!$AV$94=0,0,IF(MONTH(Setup!$R$29)=6,Setup!$R$30,IF(D8+C8&gt;'Units&amp;Income'!$AV$94,'Units&amp;Income'!$AV$94-Lease_Up!D8,Lease_Up!C8)))</f>
        <v>0</v>
      </c>
      <c r="D9" s="1473">
        <f t="shared" si="1"/>
        <v>0</v>
      </c>
      <c r="E9" s="1465" t="str">
        <f>IF('Units&amp;Income'!$AV$94=0,"",D9/'Units&amp;Income'!$AV$94)</f>
        <v/>
      </c>
      <c r="F9" s="1464">
        <f>IF($E$15=1,E9*'LIHTCs&amp;BLDGs'!$B$59/12,0)</f>
        <v>0</v>
      </c>
      <c r="G9" s="1464"/>
      <c r="H9" s="1474">
        <f>IF(E9&lt;1,E9*'Units&amp;Income'!$AW$98/12,0)</f>
        <v>0</v>
      </c>
      <c r="I9" s="1474">
        <f>IF(H9&gt;0,-Op_Costs!$G$62/12,0)</f>
        <v>0</v>
      </c>
      <c r="J9" s="1474">
        <f>IF(I9&lt;&gt;0,Sources!$J$70/-12,0)</f>
        <v>0</v>
      </c>
      <c r="K9" s="922">
        <f t="shared" si="0"/>
        <v>0</v>
      </c>
      <c r="L9" s="389">
        <f t="shared" si="2"/>
        <v>0</v>
      </c>
      <c r="M9" s="389">
        <f t="shared" si="4"/>
        <v>0</v>
      </c>
      <c r="N9" s="389">
        <f t="shared" si="5"/>
        <v>0</v>
      </c>
      <c r="O9" s="389">
        <f t="shared" si="6"/>
        <v>0</v>
      </c>
      <c r="P9" s="389">
        <f t="shared" si="7"/>
        <v>0</v>
      </c>
    </row>
    <row r="10" spans="1:16">
      <c r="A10" s="394" t="s">
        <v>807</v>
      </c>
      <c r="B10" s="395">
        <f t="shared" ca="1" si="3"/>
        <v>2024</v>
      </c>
      <c r="C10" s="1472">
        <f>IF('Units&amp;Income'!$AV$94=0,0,IF(MONTH(Setup!$R$29)=7,Setup!$R$30,IF(D9+C9&gt;'Units&amp;Income'!$AV$94,'Units&amp;Income'!$AV$94-Lease_Up!D9,Lease_Up!C9)))</f>
        <v>0</v>
      </c>
      <c r="D10" s="1473">
        <f t="shared" si="1"/>
        <v>0</v>
      </c>
      <c r="E10" s="1465" t="str">
        <f>IF('Units&amp;Income'!$AV$94=0,"",D10/'Units&amp;Income'!$AV$94)</f>
        <v/>
      </c>
      <c r="F10" s="1464">
        <f>IF($E$15=1,E10*'LIHTCs&amp;BLDGs'!$B$59/12,0)</f>
        <v>0</v>
      </c>
      <c r="G10" s="1464"/>
      <c r="H10" s="1474">
        <f>IF(E10&lt;1,E10*'Units&amp;Income'!$AW$98/12,0)</f>
        <v>0</v>
      </c>
      <c r="I10" s="1474">
        <f>IF(H10&gt;0,-Op_Costs!$G$62/12,0)</f>
        <v>0</v>
      </c>
      <c r="J10" s="1474">
        <f>IF(I10&lt;&gt;0,Sources!$J$70/-12,0)</f>
        <v>0</v>
      </c>
      <c r="K10" s="922">
        <f t="shared" si="0"/>
        <v>0</v>
      </c>
      <c r="L10" s="389">
        <f t="shared" si="2"/>
        <v>0</v>
      </c>
      <c r="M10" s="389">
        <f t="shared" si="4"/>
        <v>0</v>
      </c>
      <c r="N10" s="389">
        <f t="shared" si="5"/>
        <v>0</v>
      </c>
      <c r="O10" s="389">
        <f t="shared" si="6"/>
        <v>0</v>
      </c>
      <c r="P10" s="389">
        <f t="shared" si="7"/>
        <v>0</v>
      </c>
    </row>
    <row r="11" spans="1:16">
      <c r="A11" s="394" t="s">
        <v>808</v>
      </c>
      <c r="B11" s="395">
        <f t="shared" ca="1" si="3"/>
        <v>2024</v>
      </c>
      <c r="C11" s="1472">
        <f>IF('Units&amp;Income'!$AV$94=0,0,IF(MONTH(Setup!$R$29)=8,Setup!$R$30,IF(D10+C10&gt;'Units&amp;Income'!$AV$94,'Units&amp;Income'!$AV$94-Lease_Up!D10,Lease_Up!C10)))</f>
        <v>0</v>
      </c>
      <c r="D11" s="1473">
        <f t="shared" si="1"/>
        <v>0</v>
      </c>
      <c r="E11" s="1465" t="str">
        <f>IF('Units&amp;Income'!$AV$94=0,"",D11/'Units&amp;Income'!$AV$94)</f>
        <v/>
      </c>
      <c r="F11" s="1464">
        <f>IF($E$15=1,E11*'LIHTCs&amp;BLDGs'!$B$59/12,0)</f>
        <v>0</v>
      </c>
      <c r="G11" s="1464"/>
      <c r="H11" s="1474">
        <f>IF(E11&lt;1,E11*'Units&amp;Income'!$AW$98/12,0)</f>
        <v>0</v>
      </c>
      <c r="I11" s="1474">
        <f>IF(H11&gt;0,-Op_Costs!$G$62/12,0)</f>
        <v>0</v>
      </c>
      <c r="J11" s="1474">
        <f>IF(I11&lt;&gt;0,Sources!$J$70/-12,0)</f>
        <v>0</v>
      </c>
      <c r="K11" s="922">
        <f t="shared" si="0"/>
        <v>0</v>
      </c>
      <c r="L11" s="389">
        <f t="shared" si="2"/>
        <v>0</v>
      </c>
      <c r="M11" s="389">
        <f t="shared" si="4"/>
        <v>0</v>
      </c>
      <c r="N11" s="389">
        <f t="shared" si="5"/>
        <v>0</v>
      </c>
      <c r="O11" s="389">
        <f t="shared" si="6"/>
        <v>0</v>
      </c>
      <c r="P11" s="389">
        <f t="shared" si="7"/>
        <v>0</v>
      </c>
    </row>
    <row r="12" spans="1:16">
      <c r="A12" s="394" t="s">
        <v>809</v>
      </c>
      <c r="B12" s="395">
        <f t="shared" ca="1" si="3"/>
        <v>2024</v>
      </c>
      <c r="C12" s="1472">
        <f>IF('Units&amp;Income'!$AV$94=0,0,IF(MONTH(Setup!$R$29)=9,Setup!$R$30,IF(D11+C11&gt;'Units&amp;Income'!$AV$94,'Units&amp;Income'!$AV$94-Lease_Up!D11,Lease_Up!C11)))</f>
        <v>0</v>
      </c>
      <c r="D12" s="1473">
        <f t="shared" si="1"/>
        <v>0</v>
      </c>
      <c r="E12" s="1465" t="str">
        <f>IF('Units&amp;Income'!$AV$94=0,"",D12/'Units&amp;Income'!$AV$94)</f>
        <v/>
      </c>
      <c r="F12" s="1464">
        <f>IF($E$15=1,E12*'LIHTCs&amp;BLDGs'!$B$59/12,0)</f>
        <v>0</v>
      </c>
      <c r="G12" s="1464"/>
      <c r="H12" s="1474">
        <f>IF(E12&lt;1,E12*'Units&amp;Income'!$AW$98/12,0)</f>
        <v>0</v>
      </c>
      <c r="I12" s="1474">
        <f>IF(H12&gt;0,-Op_Costs!$G$62/12,0)</f>
        <v>0</v>
      </c>
      <c r="J12" s="1474">
        <f>IF(I12&lt;&gt;0,Sources!$J$70/-12,0)</f>
        <v>0</v>
      </c>
      <c r="K12" s="922">
        <f t="shared" si="0"/>
        <v>0</v>
      </c>
      <c r="L12" s="389">
        <f t="shared" si="2"/>
        <v>0</v>
      </c>
      <c r="M12" s="389">
        <f t="shared" si="4"/>
        <v>0</v>
      </c>
      <c r="N12" s="389">
        <f t="shared" si="5"/>
        <v>0</v>
      </c>
      <c r="O12" s="389">
        <f t="shared" si="6"/>
        <v>0</v>
      </c>
      <c r="P12" s="389">
        <f t="shared" si="7"/>
        <v>0</v>
      </c>
    </row>
    <row r="13" spans="1:16">
      <c r="A13" s="394" t="s">
        <v>810</v>
      </c>
      <c r="B13" s="395">
        <f t="shared" ca="1" si="3"/>
        <v>2024</v>
      </c>
      <c r="C13" s="1472">
        <f>IF('Units&amp;Income'!$AV$94=0,0,IF(MONTH(Setup!$R$29)=10,Setup!$R$30,IF(D12+C12&gt;'Units&amp;Income'!$AV$94,'Units&amp;Income'!$AV$94-Lease_Up!D12,Lease_Up!C12)))</f>
        <v>0</v>
      </c>
      <c r="D13" s="1473">
        <f t="shared" si="1"/>
        <v>0</v>
      </c>
      <c r="E13" s="1465" t="str">
        <f>IF('Units&amp;Income'!$AV$94=0,"",D13/'Units&amp;Income'!$AV$94)</f>
        <v/>
      </c>
      <c r="F13" s="1464">
        <f>IF($E$15=1,E13*'LIHTCs&amp;BLDGs'!$B$59/12,0)</f>
        <v>0</v>
      </c>
      <c r="G13" s="1464"/>
      <c r="H13" s="1474">
        <f>IF(E13&lt;1,E13*'Units&amp;Income'!$AW$98/12,0)</f>
        <v>0</v>
      </c>
      <c r="I13" s="1474">
        <f>IF(H13&gt;0,-Op_Costs!$G$62/12,0)</f>
        <v>0</v>
      </c>
      <c r="J13" s="1474">
        <f>IF(I13&lt;&gt;0,Sources!$J$70/-12,0)</f>
        <v>0</v>
      </c>
      <c r="K13" s="922">
        <f t="shared" si="0"/>
        <v>0</v>
      </c>
      <c r="L13" s="389">
        <f t="shared" si="2"/>
        <v>0</v>
      </c>
      <c r="M13" s="389">
        <f t="shared" si="4"/>
        <v>0</v>
      </c>
      <c r="N13" s="389">
        <f t="shared" si="5"/>
        <v>0</v>
      </c>
      <c r="O13" s="389">
        <f t="shared" si="6"/>
        <v>0</v>
      </c>
      <c r="P13" s="389">
        <f t="shared" si="7"/>
        <v>0</v>
      </c>
    </row>
    <row r="14" spans="1:16">
      <c r="A14" s="394" t="s">
        <v>811</v>
      </c>
      <c r="B14" s="395">
        <f t="shared" ca="1" si="3"/>
        <v>2024</v>
      </c>
      <c r="C14" s="1472">
        <f>IF('Units&amp;Income'!$AV$94=0,0,IF(MONTH(Setup!$R$29)=11,Setup!$R$30,IF(D13+C13&gt;'Units&amp;Income'!$AV$94,'Units&amp;Income'!$AV$94-Lease_Up!D13,Lease_Up!C13)))</f>
        <v>0</v>
      </c>
      <c r="D14" s="1473">
        <f t="shared" si="1"/>
        <v>0</v>
      </c>
      <c r="E14" s="1465" t="str">
        <f>IF('Units&amp;Income'!$AV$94=0,"",D14/'Units&amp;Income'!$AV$94)</f>
        <v/>
      </c>
      <c r="F14" s="1464">
        <f>IF($E$15=1,E14*'LIHTCs&amp;BLDGs'!$B$59/12,0)</f>
        <v>0</v>
      </c>
      <c r="G14" s="1464"/>
      <c r="H14" s="1474">
        <f>IF(E14&lt;1,E14*'Units&amp;Income'!$AW$98/12,0)</f>
        <v>0</v>
      </c>
      <c r="I14" s="1474">
        <f>IF(H14&gt;0,-Op_Costs!$G$62/12,0)</f>
        <v>0</v>
      </c>
      <c r="J14" s="1474">
        <f>IF(I14&lt;&gt;0,Sources!$J$70/-12,0)</f>
        <v>0</v>
      </c>
      <c r="K14" s="922">
        <f t="shared" si="0"/>
        <v>0</v>
      </c>
      <c r="L14" s="389">
        <f t="shared" si="2"/>
        <v>0</v>
      </c>
      <c r="M14" s="389">
        <f t="shared" si="4"/>
        <v>0</v>
      </c>
      <c r="N14" s="389">
        <f t="shared" si="5"/>
        <v>0</v>
      </c>
      <c r="O14" s="389">
        <f t="shared" si="6"/>
        <v>0</v>
      </c>
      <c r="P14" s="389">
        <f t="shared" si="7"/>
        <v>0</v>
      </c>
    </row>
    <row r="15" spans="1:16" ht="13.5" thickBot="1">
      <c r="A15" s="396" t="s">
        <v>812</v>
      </c>
      <c r="B15" s="397">
        <f t="shared" ca="1" si="3"/>
        <v>2024</v>
      </c>
      <c r="C15" s="1475">
        <f>IF('Units&amp;Income'!$AV$94=0,0,IF(MONTH(Setup!$R$29)=12,Setup!$R$30,IF(D14+C14&gt;'Units&amp;Income'!$AV$94,'Units&amp;Income'!$AV$94-Lease_Up!D14,Lease_Up!C14)))</f>
        <v>0</v>
      </c>
      <c r="D15" s="1476">
        <f t="shared" si="1"/>
        <v>0</v>
      </c>
      <c r="E15" s="1465" t="str">
        <f>IF('Units&amp;Income'!$AV$94=0,"",D15/'Units&amp;Income'!$AV$94)</f>
        <v/>
      </c>
      <c r="F15" s="1477">
        <f>IF($E$15=1,E15*'LIHTCs&amp;BLDGs'!$B$59/12,0)</f>
        <v>0</v>
      </c>
      <c r="G15" s="1477"/>
      <c r="H15" s="1474">
        <f>IF(E15&lt;1,E15*'Units&amp;Income'!$AW$98/12,0)</f>
        <v>0</v>
      </c>
      <c r="I15" s="1474">
        <f>IF(H15&gt;0,-Op_Costs!$G$62/12,0)</f>
        <v>0</v>
      </c>
      <c r="J15" s="1474">
        <f>IF(I15&lt;&gt;0,Sources!$J$70/-12,0)</f>
        <v>0</v>
      </c>
      <c r="K15" s="922">
        <f t="shared" si="0"/>
        <v>0</v>
      </c>
      <c r="L15" s="389">
        <f t="shared" si="2"/>
        <v>0</v>
      </c>
      <c r="M15" s="389">
        <f t="shared" si="4"/>
        <v>0</v>
      </c>
      <c r="N15" s="389">
        <f t="shared" si="5"/>
        <v>0</v>
      </c>
      <c r="O15" s="389">
        <f t="shared" si="6"/>
        <v>0</v>
      </c>
      <c r="P15" s="389">
        <f t="shared" si="7"/>
        <v>0</v>
      </c>
    </row>
    <row r="16" spans="1:16" s="393" customFormat="1" ht="13.5" thickBot="1">
      <c r="A16" s="1478" t="s">
        <v>813</v>
      </c>
      <c r="B16" s="1479"/>
      <c r="C16" s="1480">
        <f>SUM(C4:C15)</f>
        <v>0</v>
      </c>
      <c r="D16" s="1480"/>
      <c r="E16" s="1481"/>
      <c r="F16" s="1482">
        <f>SUM(F4:F15)</f>
        <v>0</v>
      </c>
      <c r="G16" s="1483"/>
      <c r="H16" s="1484" t="s">
        <v>814</v>
      </c>
      <c r="I16" s="1485"/>
      <c r="J16" s="1485"/>
      <c r="K16" s="1486">
        <f>SUM(K4:K15)</f>
        <v>0</v>
      </c>
      <c r="L16" s="1470"/>
      <c r="M16" s="1470"/>
      <c r="N16" s="389">
        <f t="shared" si="5"/>
        <v>0</v>
      </c>
      <c r="O16" s="389">
        <f t="shared" si="6"/>
        <v>0</v>
      </c>
      <c r="P16" s="389">
        <f t="shared" si="7"/>
        <v>0</v>
      </c>
    </row>
    <row r="17" spans="1:16">
      <c r="C17" s="1472"/>
      <c r="D17" s="1472"/>
      <c r="E17" s="1465"/>
      <c r="F17" s="1464"/>
      <c r="G17" s="1464"/>
      <c r="H17" s="1464"/>
      <c r="I17" s="1464"/>
      <c r="J17" s="1464"/>
      <c r="N17" s="389">
        <f t="shared" si="5"/>
        <v>0</v>
      </c>
      <c r="O17" s="389">
        <f t="shared" si="6"/>
        <v>0</v>
      </c>
      <c r="P17" s="389">
        <f t="shared" si="7"/>
        <v>0</v>
      </c>
    </row>
    <row r="18" spans="1:16">
      <c r="A18" s="394" t="s">
        <v>802</v>
      </c>
      <c r="B18" s="395">
        <f t="shared" ref="B18:B29" ca="1" si="8">B4+1</f>
        <v>2025</v>
      </c>
      <c r="C18" s="1472">
        <f>IF(D15+C15&gt;'Units&amp;Income'!$AV$94,'Units&amp;Income'!$AV$94-Lease_Up!D15,Lease_Up!C15)</f>
        <v>0</v>
      </c>
      <c r="D18" s="1473">
        <f>C18+D15</f>
        <v>0</v>
      </c>
      <c r="E18" s="1465" t="str">
        <f>IF('Units&amp;Income'!$AV$94=0,"",D18/'Units&amp;Income'!$AV$94)</f>
        <v/>
      </c>
      <c r="F18" s="1464">
        <f>IF($E$29=1,E18*'LIHTCs&amp;BLDGs'!$B$59/12,0)</f>
        <v>0</v>
      </c>
      <c r="G18" s="1464"/>
      <c r="H18" s="1474">
        <f>IF(E18&lt;1,E18*'Units&amp;Income'!$AW$98/12,0)</f>
        <v>0</v>
      </c>
      <c r="I18" s="1474">
        <f>IF(H18&gt;0,-Op_Costs!$G$62/12,0)</f>
        <v>0</v>
      </c>
      <c r="J18" s="1474">
        <f>IF(I18&lt;&gt;0,Sources!$J$70/-12,0)</f>
        <v>0</v>
      </c>
      <c r="K18" s="922">
        <f t="shared" ref="K18:K29" si="9">IF(H18+I18+J18&lt;0,H18+I18+J18,0)</f>
        <v>0</v>
      </c>
      <c r="L18" s="389">
        <f>IF(C18=0,0,1)</f>
        <v>0</v>
      </c>
      <c r="M18" s="389">
        <f>L18+M15</f>
        <v>0</v>
      </c>
      <c r="N18" s="389">
        <f t="shared" si="5"/>
        <v>0</v>
      </c>
      <c r="O18" s="389">
        <f t="shared" si="6"/>
        <v>0</v>
      </c>
      <c r="P18" s="389">
        <f t="shared" si="7"/>
        <v>0</v>
      </c>
    </row>
    <row r="19" spans="1:16">
      <c r="A19" s="394" t="s">
        <v>166</v>
      </c>
      <c r="B19" s="395">
        <f t="shared" ca="1" si="8"/>
        <v>2025</v>
      </c>
      <c r="C19" s="1472">
        <f>IF(D18+C18&gt;'Units&amp;Income'!$AV$94,'Units&amp;Income'!$AV$94-Lease_Up!D18,Lease_Up!C18)</f>
        <v>0</v>
      </c>
      <c r="D19" s="1473">
        <f t="shared" ref="D19:D29" si="10">C19+D18</f>
        <v>0</v>
      </c>
      <c r="E19" s="1465" t="str">
        <f>IF('Units&amp;Income'!$AV$94=0,"",D19/'Units&amp;Income'!$AV$94)</f>
        <v/>
      </c>
      <c r="F19" s="1464">
        <f>IF($E$29=1,E19*'LIHTCs&amp;BLDGs'!$B$59/12,0)</f>
        <v>0</v>
      </c>
      <c r="G19" s="1464"/>
      <c r="H19" s="1474">
        <f>IF(E19&lt;1,E19*'Units&amp;Income'!$AW$98/12,0)</f>
        <v>0</v>
      </c>
      <c r="I19" s="1474">
        <f>IF(H19&gt;0,-Op_Costs!$G$62/12,0)</f>
        <v>0</v>
      </c>
      <c r="J19" s="1474">
        <f>IF(I19&lt;&gt;0,Sources!$J$70/-12,0)</f>
        <v>0</v>
      </c>
      <c r="K19" s="922">
        <f t="shared" si="9"/>
        <v>0</v>
      </c>
      <c r="L19" s="389">
        <f t="shared" ref="L19:L29" si="11">IF(C19=0,0,1)</f>
        <v>0</v>
      </c>
      <c r="M19" s="389">
        <f>L19+M18</f>
        <v>0</v>
      </c>
      <c r="N19" s="389">
        <f t="shared" si="5"/>
        <v>0</v>
      </c>
      <c r="O19" s="389">
        <f t="shared" si="6"/>
        <v>0</v>
      </c>
      <c r="P19" s="389">
        <f t="shared" si="7"/>
        <v>0</v>
      </c>
    </row>
    <row r="20" spans="1:16">
      <c r="A20" s="394" t="s">
        <v>803</v>
      </c>
      <c r="B20" s="395">
        <f t="shared" ca="1" si="8"/>
        <v>2025</v>
      </c>
      <c r="C20" s="1472">
        <f>IF(D19+C19&gt;'Units&amp;Income'!$AV$94,'Units&amp;Income'!$AV$94-Lease_Up!D19,Lease_Up!C19)</f>
        <v>0</v>
      </c>
      <c r="D20" s="1473">
        <f t="shared" si="10"/>
        <v>0</v>
      </c>
      <c r="E20" s="1465" t="str">
        <f>IF('Units&amp;Income'!$AV$94=0,"",D20/'Units&amp;Income'!$AV$94)</f>
        <v/>
      </c>
      <c r="F20" s="1464">
        <f>IF($E$29=1,E20*'LIHTCs&amp;BLDGs'!$B$59/12,0)</f>
        <v>0</v>
      </c>
      <c r="G20" s="1464"/>
      <c r="H20" s="1474">
        <f>IF(E20&lt;1,E20*'Units&amp;Income'!$AW$98/12,0)</f>
        <v>0</v>
      </c>
      <c r="I20" s="1474">
        <f>IF(H20&gt;0,-Op_Costs!$G$62/12,0)</f>
        <v>0</v>
      </c>
      <c r="J20" s="1474">
        <f>IF(I20&lt;&gt;0,Sources!$J$70/-12,0)</f>
        <v>0</v>
      </c>
      <c r="K20" s="922">
        <f t="shared" si="9"/>
        <v>0</v>
      </c>
      <c r="L20" s="389">
        <f t="shared" si="11"/>
        <v>0</v>
      </c>
      <c r="M20" s="389">
        <f t="shared" ref="M20:M29" si="12">L20+M19</f>
        <v>0</v>
      </c>
      <c r="N20" s="389">
        <f t="shared" si="5"/>
        <v>0</v>
      </c>
      <c r="O20" s="389">
        <f t="shared" si="6"/>
        <v>0</v>
      </c>
      <c r="P20" s="389">
        <f t="shared" si="7"/>
        <v>0</v>
      </c>
    </row>
    <row r="21" spans="1:16">
      <c r="A21" s="394" t="s">
        <v>804</v>
      </c>
      <c r="B21" s="395">
        <f t="shared" ca="1" si="8"/>
        <v>2025</v>
      </c>
      <c r="C21" s="1472">
        <f>IF(D20+C20&gt;'Units&amp;Income'!$AV$94,'Units&amp;Income'!$AV$94-Lease_Up!D20,Lease_Up!C20)</f>
        <v>0</v>
      </c>
      <c r="D21" s="1473">
        <f t="shared" si="10"/>
        <v>0</v>
      </c>
      <c r="E21" s="1465" t="str">
        <f>IF('Units&amp;Income'!$AV$94=0,"",D21/'Units&amp;Income'!$AV$94)</f>
        <v/>
      </c>
      <c r="F21" s="1464">
        <f>IF($E$29=1,E21*'LIHTCs&amp;BLDGs'!$B$59/12,0)</f>
        <v>0</v>
      </c>
      <c r="G21" s="1464"/>
      <c r="H21" s="1474">
        <f>IF(E21&lt;1,E21*'Units&amp;Income'!$AW$98/12,0)</f>
        <v>0</v>
      </c>
      <c r="I21" s="1474">
        <f>IF(H21&gt;0,-Op_Costs!$G$62/12,0)</f>
        <v>0</v>
      </c>
      <c r="J21" s="1474">
        <f>IF(I21&lt;&gt;0,Sources!$J$70/-12,0)</f>
        <v>0</v>
      </c>
      <c r="K21" s="922">
        <f t="shared" si="9"/>
        <v>0</v>
      </c>
      <c r="L21" s="389">
        <f t="shared" si="11"/>
        <v>0</v>
      </c>
      <c r="M21" s="389">
        <f t="shared" si="12"/>
        <v>0</v>
      </c>
      <c r="N21" s="389">
        <f t="shared" si="5"/>
        <v>0</v>
      </c>
      <c r="O21" s="389">
        <f t="shared" si="6"/>
        <v>0</v>
      </c>
      <c r="P21" s="389">
        <f t="shared" si="7"/>
        <v>0</v>
      </c>
    </row>
    <row r="22" spans="1:16">
      <c r="A22" s="394" t="s">
        <v>805</v>
      </c>
      <c r="B22" s="395">
        <f t="shared" ca="1" si="8"/>
        <v>2025</v>
      </c>
      <c r="C22" s="1472">
        <f>IF(D21+C21&gt;'Units&amp;Income'!$AV$94,'Units&amp;Income'!$AV$94-Lease_Up!D21,Lease_Up!C21)</f>
        <v>0</v>
      </c>
      <c r="D22" s="1473">
        <f t="shared" si="10"/>
        <v>0</v>
      </c>
      <c r="E22" s="1465" t="str">
        <f>IF('Units&amp;Income'!$AV$94=0,"",D22/'Units&amp;Income'!$AV$94)</f>
        <v/>
      </c>
      <c r="F22" s="1464">
        <f>IF($E$29=1,E22*'LIHTCs&amp;BLDGs'!$B$59/12,0)</f>
        <v>0</v>
      </c>
      <c r="G22" s="1464"/>
      <c r="H22" s="1474">
        <f>IF(E22&lt;1,E22*'Units&amp;Income'!$AW$98/12,0)</f>
        <v>0</v>
      </c>
      <c r="I22" s="1474">
        <f>IF(H22&gt;0,-Op_Costs!$G$62/12,0)</f>
        <v>0</v>
      </c>
      <c r="J22" s="1474">
        <f>IF(I22&lt;&gt;0,Sources!$J$70/-12,0)</f>
        <v>0</v>
      </c>
      <c r="K22" s="922">
        <f t="shared" si="9"/>
        <v>0</v>
      </c>
      <c r="L22" s="389">
        <f t="shared" si="11"/>
        <v>0</v>
      </c>
      <c r="M22" s="389">
        <f t="shared" si="12"/>
        <v>0</v>
      </c>
      <c r="N22" s="389">
        <f t="shared" si="5"/>
        <v>0</v>
      </c>
      <c r="O22" s="389">
        <f t="shared" si="6"/>
        <v>0</v>
      </c>
      <c r="P22" s="389">
        <f t="shared" si="7"/>
        <v>0</v>
      </c>
    </row>
    <row r="23" spans="1:16">
      <c r="A23" s="394" t="s">
        <v>806</v>
      </c>
      <c r="B23" s="395">
        <f t="shared" ca="1" si="8"/>
        <v>2025</v>
      </c>
      <c r="C23" s="1472">
        <f>IF(D22+C22&gt;'Units&amp;Income'!$AV$94,'Units&amp;Income'!$AV$94-Lease_Up!D22,Lease_Up!C22)</f>
        <v>0</v>
      </c>
      <c r="D23" s="1473">
        <f t="shared" si="10"/>
        <v>0</v>
      </c>
      <c r="E23" s="1465" t="str">
        <f>IF('Units&amp;Income'!$AV$94=0,"",D23/'Units&amp;Income'!$AV$94)</f>
        <v/>
      </c>
      <c r="F23" s="1464">
        <f>IF($E$29=1,E23*'LIHTCs&amp;BLDGs'!$B$59/12,0)</f>
        <v>0</v>
      </c>
      <c r="G23" s="1464"/>
      <c r="H23" s="1474">
        <f>IF(E23&lt;1,E23*'Units&amp;Income'!$AW$98/12,0)</f>
        <v>0</v>
      </c>
      <c r="I23" s="1474">
        <f>IF(H23&gt;0,-Op_Costs!$G$62/12,0)</f>
        <v>0</v>
      </c>
      <c r="J23" s="1474">
        <f>IF(I23&lt;&gt;0,Sources!$J$70/-12,0)</f>
        <v>0</v>
      </c>
      <c r="K23" s="922">
        <f t="shared" si="9"/>
        <v>0</v>
      </c>
      <c r="L23" s="389">
        <f t="shared" si="11"/>
        <v>0</v>
      </c>
      <c r="M23" s="389">
        <f t="shared" si="12"/>
        <v>0</v>
      </c>
      <c r="N23" s="389">
        <f t="shared" si="5"/>
        <v>0</v>
      </c>
      <c r="O23" s="389">
        <f t="shared" si="6"/>
        <v>0</v>
      </c>
      <c r="P23" s="389">
        <f t="shared" si="7"/>
        <v>0</v>
      </c>
    </row>
    <row r="24" spans="1:16">
      <c r="A24" s="394" t="s">
        <v>807</v>
      </c>
      <c r="B24" s="395">
        <f t="shared" ca="1" si="8"/>
        <v>2025</v>
      </c>
      <c r="C24" s="1472">
        <f>IF(D23+C23&gt;'Units&amp;Income'!$AV$94,'Units&amp;Income'!$AV$94-Lease_Up!D23,Lease_Up!C23)</f>
        <v>0</v>
      </c>
      <c r="D24" s="1473">
        <f t="shared" si="10"/>
        <v>0</v>
      </c>
      <c r="E24" s="1465" t="str">
        <f>IF('Units&amp;Income'!$AV$94=0,"",D24/'Units&amp;Income'!$AV$94)</f>
        <v/>
      </c>
      <c r="F24" s="1464">
        <f>IF($E$29=1,E24*'LIHTCs&amp;BLDGs'!$B$59/12,0)</f>
        <v>0</v>
      </c>
      <c r="G24" s="1464"/>
      <c r="H24" s="1474">
        <f>IF(E24&lt;1,E24*'Units&amp;Income'!$AW$98/12,0)</f>
        <v>0</v>
      </c>
      <c r="I24" s="1474">
        <f>IF(H24&gt;0,-Op_Costs!$G$62/12,0)</f>
        <v>0</v>
      </c>
      <c r="J24" s="1474">
        <f>IF(I24&lt;&gt;0,Sources!$J$70/-12,0)</f>
        <v>0</v>
      </c>
      <c r="K24" s="922">
        <f t="shared" si="9"/>
        <v>0</v>
      </c>
      <c r="L24" s="389">
        <f t="shared" si="11"/>
        <v>0</v>
      </c>
      <c r="M24" s="389">
        <f t="shared" si="12"/>
        <v>0</v>
      </c>
      <c r="N24" s="389">
        <f t="shared" si="5"/>
        <v>0</v>
      </c>
      <c r="O24" s="389">
        <f t="shared" si="6"/>
        <v>0</v>
      </c>
      <c r="P24" s="389">
        <f t="shared" si="7"/>
        <v>0</v>
      </c>
    </row>
    <row r="25" spans="1:16">
      <c r="A25" s="394" t="s">
        <v>808</v>
      </c>
      <c r="B25" s="395">
        <f t="shared" ca="1" si="8"/>
        <v>2025</v>
      </c>
      <c r="C25" s="1472">
        <f>IF(D24+C24&gt;'Units&amp;Income'!$AV$94,'Units&amp;Income'!$AV$94-Lease_Up!D24,Lease_Up!C24)</f>
        <v>0</v>
      </c>
      <c r="D25" s="1473">
        <f t="shared" si="10"/>
        <v>0</v>
      </c>
      <c r="E25" s="1465" t="str">
        <f>IF('Units&amp;Income'!$AV$94=0,"",D25/'Units&amp;Income'!$AV$94)</f>
        <v/>
      </c>
      <c r="F25" s="1464">
        <f>IF($E$29=1,E25*'LIHTCs&amp;BLDGs'!$B$59/12,0)</f>
        <v>0</v>
      </c>
      <c r="G25" s="1464"/>
      <c r="H25" s="1474">
        <f>IF(E25&lt;1,E25*'Units&amp;Income'!$AW$98/12,0)</f>
        <v>0</v>
      </c>
      <c r="I25" s="1474">
        <f>IF(H25&gt;0,-Op_Costs!$G$62/12,0)</f>
        <v>0</v>
      </c>
      <c r="J25" s="1474">
        <f>IF(I25&lt;&gt;0,Sources!$J$70/-12,0)</f>
        <v>0</v>
      </c>
      <c r="K25" s="922">
        <f t="shared" si="9"/>
        <v>0</v>
      </c>
      <c r="L25" s="389">
        <f t="shared" si="11"/>
        <v>0</v>
      </c>
      <c r="M25" s="389">
        <f t="shared" si="12"/>
        <v>0</v>
      </c>
      <c r="N25" s="389">
        <f t="shared" si="5"/>
        <v>0</v>
      </c>
      <c r="O25" s="389">
        <f t="shared" si="6"/>
        <v>0</v>
      </c>
      <c r="P25" s="389">
        <f t="shared" si="7"/>
        <v>0</v>
      </c>
    </row>
    <row r="26" spans="1:16">
      <c r="A26" s="394" t="s">
        <v>809</v>
      </c>
      <c r="B26" s="395">
        <f t="shared" ca="1" si="8"/>
        <v>2025</v>
      </c>
      <c r="C26" s="1472">
        <f>IF(D25+C25&gt;'Units&amp;Income'!$AV$94,'Units&amp;Income'!$AV$94-Lease_Up!D25,Lease_Up!C25)</f>
        <v>0</v>
      </c>
      <c r="D26" s="1473">
        <f t="shared" si="10"/>
        <v>0</v>
      </c>
      <c r="E26" s="1465" t="str">
        <f>IF('Units&amp;Income'!$AV$94=0,"",D26/'Units&amp;Income'!$AV$94)</f>
        <v/>
      </c>
      <c r="F26" s="1464">
        <f>IF($E$29=1,E26*'LIHTCs&amp;BLDGs'!$B$59/12,0)</f>
        <v>0</v>
      </c>
      <c r="G26" s="1464"/>
      <c r="H26" s="1474">
        <f>IF(E26&lt;1,E26*'Units&amp;Income'!$AW$98/12,0)</f>
        <v>0</v>
      </c>
      <c r="I26" s="1474">
        <f>IF(H26&gt;0,-Op_Costs!$G$62/12,0)</f>
        <v>0</v>
      </c>
      <c r="J26" s="1474">
        <f>IF(I26&lt;&gt;0,Sources!$J$70/-12,0)</f>
        <v>0</v>
      </c>
      <c r="K26" s="922">
        <f t="shared" si="9"/>
        <v>0</v>
      </c>
      <c r="L26" s="389">
        <f t="shared" si="11"/>
        <v>0</v>
      </c>
      <c r="M26" s="389">
        <f t="shared" si="12"/>
        <v>0</v>
      </c>
      <c r="N26" s="389">
        <f t="shared" si="5"/>
        <v>0</v>
      </c>
      <c r="O26" s="389">
        <f t="shared" si="6"/>
        <v>0</v>
      </c>
      <c r="P26" s="389">
        <f t="shared" si="7"/>
        <v>0</v>
      </c>
    </row>
    <row r="27" spans="1:16">
      <c r="A27" s="394" t="s">
        <v>810</v>
      </c>
      <c r="B27" s="395">
        <f t="shared" ca="1" si="8"/>
        <v>2025</v>
      </c>
      <c r="C27" s="1472">
        <f>IF(D26+C26&gt;'Units&amp;Income'!$AV$94,'Units&amp;Income'!$AV$94-Lease_Up!D26,Lease_Up!C26)</f>
        <v>0</v>
      </c>
      <c r="D27" s="1473">
        <f t="shared" si="10"/>
        <v>0</v>
      </c>
      <c r="E27" s="1465" t="str">
        <f>IF('Units&amp;Income'!$AV$94=0,"",D27/'Units&amp;Income'!$AV$94)</f>
        <v/>
      </c>
      <c r="F27" s="1464">
        <f>IF($E$29=1,E27*'LIHTCs&amp;BLDGs'!$B$59/12,0)</f>
        <v>0</v>
      </c>
      <c r="G27" s="1464"/>
      <c r="H27" s="1474">
        <f>IF(E27&lt;1,E27*'Units&amp;Income'!$AW$98/12,0)</f>
        <v>0</v>
      </c>
      <c r="I27" s="1474">
        <f>IF(H27&gt;0,-Op_Costs!$G$62/12,0)</f>
        <v>0</v>
      </c>
      <c r="J27" s="1474">
        <f>IF(I27&lt;&gt;0,Sources!$J$70/-12,0)</f>
        <v>0</v>
      </c>
      <c r="K27" s="922">
        <f t="shared" si="9"/>
        <v>0</v>
      </c>
      <c r="L27" s="389">
        <f t="shared" si="11"/>
        <v>0</v>
      </c>
      <c r="M27" s="389">
        <f t="shared" si="12"/>
        <v>0</v>
      </c>
      <c r="N27" s="389">
        <f>IF(O26&gt;0,0,IF(E27=1,B27,0))</f>
        <v>0</v>
      </c>
      <c r="O27" s="389">
        <f t="shared" si="6"/>
        <v>0</v>
      </c>
      <c r="P27" s="389">
        <f t="shared" si="7"/>
        <v>0</v>
      </c>
    </row>
    <row r="28" spans="1:16">
      <c r="A28" s="394" t="s">
        <v>811</v>
      </c>
      <c r="B28" s="395">
        <f t="shared" ca="1" si="8"/>
        <v>2025</v>
      </c>
      <c r="C28" s="1472">
        <f>IF(D27+C27&gt;'Units&amp;Income'!$AV$94,'Units&amp;Income'!$AV$94-Lease_Up!D27,Lease_Up!C27)</f>
        <v>0</v>
      </c>
      <c r="D28" s="1473">
        <f t="shared" si="10"/>
        <v>0</v>
      </c>
      <c r="E28" s="1465" t="str">
        <f>IF('Units&amp;Income'!$AV$94=0,"",D28/'Units&amp;Income'!$AV$94)</f>
        <v/>
      </c>
      <c r="F28" s="1464">
        <f>IF($E$29=1,E28*'LIHTCs&amp;BLDGs'!$B$59/12,0)</f>
        <v>0</v>
      </c>
      <c r="G28" s="1464"/>
      <c r="H28" s="1474">
        <f>IF(E28&lt;1,E28*'Units&amp;Income'!$AW$98/12,0)</f>
        <v>0</v>
      </c>
      <c r="I28" s="1474">
        <f>IF(H28&gt;0,-Op_Costs!$G$62/12,0)</f>
        <v>0</v>
      </c>
      <c r="J28" s="1474">
        <f>IF(I28&lt;&gt;0,Sources!$J$70/-12,0)</f>
        <v>0</v>
      </c>
      <c r="K28" s="922">
        <f t="shared" si="9"/>
        <v>0</v>
      </c>
      <c r="L28" s="389">
        <f t="shared" si="11"/>
        <v>0</v>
      </c>
      <c r="M28" s="389">
        <f t="shared" si="12"/>
        <v>0</v>
      </c>
      <c r="N28" s="389">
        <f t="shared" si="5"/>
        <v>0</v>
      </c>
      <c r="O28" s="389">
        <f t="shared" si="6"/>
        <v>0</v>
      </c>
      <c r="P28" s="389">
        <f t="shared" si="7"/>
        <v>0</v>
      </c>
    </row>
    <row r="29" spans="1:16" ht="13.5" thickBot="1">
      <c r="A29" s="396" t="s">
        <v>812</v>
      </c>
      <c r="B29" s="397">
        <f t="shared" ca="1" si="8"/>
        <v>2025</v>
      </c>
      <c r="C29" s="1475">
        <f>IF(D28+C28&gt;'Units&amp;Income'!$AV$94,'Units&amp;Income'!$AV$94-Lease_Up!D28,Lease_Up!C28)</f>
        <v>0</v>
      </c>
      <c r="D29" s="1476">
        <f t="shared" si="10"/>
        <v>0</v>
      </c>
      <c r="E29" s="1465" t="str">
        <f>IF('Units&amp;Income'!$AV$94=0,"",D29/'Units&amp;Income'!$AV$94)</f>
        <v/>
      </c>
      <c r="F29" s="1477">
        <f>IF($E$29=1,E29*'LIHTCs&amp;BLDGs'!$B$59/12,0)</f>
        <v>0</v>
      </c>
      <c r="G29" s="1477"/>
      <c r="H29" s="1474">
        <f>IF(E29&lt;1,E29*'Units&amp;Income'!$AW$98/12,0)</f>
        <v>0</v>
      </c>
      <c r="I29" s="1474">
        <f>IF(H29&gt;0,-Op_Costs!$G$62/12,0)</f>
        <v>0</v>
      </c>
      <c r="J29" s="1474">
        <f>IF(I29&lt;&gt;0,Sources!$J$70/-12,0)</f>
        <v>0</v>
      </c>
      <c r="K29" s="922">
        <f t="shared" si="9"/>
        <v>0</v>
      </c>
      <c r="L29" s="389">
        <f t="shared" si="11"/>
        <v>0</v>
      </c>
      <c r="M29" s="389">
        <f t="shared" si="12"/>
        <v>0</v>
      </c>
      <c r="N29" s="389">
        <f t="shared" si="5"/>
        <v>0</v>
      </c>
      <c r="O29" s="389">
        <f t="shared" si="6"/>
        <v>0</v>
      </c>
      <c r="P29" s="389">
        <f t="shared" si="7"/>
        <v>0</v>
      </c>
    </row>
    <row r="30" spans="1:16" s="393" customFormat="1" ht="13.5" thickBot="1">
      <c r="A30" s="1478" t="s">
        <v>813</v>
      </c>
      <c r="B30" s="1479"/>
      <c r="C30" s="1480">
        <f>SUM(C18:C29)</f>
        <v>0</v>
      </c>
      <c r="D30" s="1480"/>
      <c r="E30" s="1481"/>
      <c r="F30" s="1482">
        <f>SUM(F18:F29)</f>
        <v>0</v>
      </c>
      <c r="G30" s="1483"/>
      <c r="H30" s="1484" t="s">
        <v>814</v>
      </c>
      <c r="I30" s="1485"/>
      <c r="J30" s="1485"/>
      <c r="K30" s="1486">
        <f>SUM(K18:K29)</f>
        <v>0</v>
      </c>
      <c r="L30" s="1470"/>
      <c r="M30" s="1470"/>
      <c r="N30" s="389">
        <f t="shared" si="5"/>
        <v>0</v>
      </c>
      <c r="O30" s="389">
        <f t="shared" si="6"/>
        <v>0</v>
      </c>
      <c r="P30" s="389">
        <f t="shared" si="7"/>
        <v>0</v>
      </c>
    </row>
    <row r="31" spans="1:16" s="393" customFormat="1">
      <c r="A31" s="1487"/>
      <c r="B31" s="1488"/>
      <c r="C31" s="1489"/>
      <c r="D31" s="1489"/>
      <c r="E31" s="1490"/>
      <c r="F31" s="1483"/>
      <c r="G31" s="1483"/>
      <c r="H31" s="1483"/>
      <c r="I31" s="1483"/>
      <c r="J31" s="1483"/>
      <c r="K31" s="1470"/>
      <c r="L31" s="1470"/>
      <c r="M31" s="1470"/>
      <c r="N31" s="389">
        <f t="shared" si="5"/>
        <v>0</v>
      </c>
      <c r="O31" s="389">
        <f t="shared" si="6"/>
        <v>0</v>
      </c>
      <c r="P31" s="389">
        <f t="shared" si="7"/>
        <v>0</v>
      </c>
    </row>
    <row r="32" spans="1:16">
      <c r="A32" s="394" t="s">
        <v>802</v>
      </c>
      <c r="B32" s="395">
        <f ca="1">B18+1</f>
        <v>2026</v>
      </c>
      <c r="C32" s="1472">
        <f>IF(D29+C29&gt;'Units&amp;Income'!$AV$94,'Units&amp;Income'!$AV$94-Lease_Up!D29,Lease_Up!C29)</f>
        <v>0</v>
      </c>
      <c r="D32" s="1473">
        <f>C32+D29</f>
        <v>0</v>
      </c>
      <c r="E32" s="1465" t="str">
        <f>IF('Units&amp;Income'!$AV$94=0,"",D32/'Units&amp;Income'!$AV$94)</f>
        <v/>
      </c>
      <c r="F32" s="1464">
        <f>IF($E$43=1,E32*'LIHTCs&amp;BLDGs'!$B$59/12,0)</f>
        <v>0</v>
      </c>
      <c r="G32" s="1464"/>
      <c r="H32" s="1474">
        <f>IF(E32&lt;1,E32*'Units&amp;Income'!$AW$98/12,0)</f>
        <v>0</v>
      </c>
      <c r="I32" s="1474">
        <f>IF(H32&gt;0,-Op_Costs!$G$62/12,0)</f>
        <v>0</v>
      </c>
      <c r="J32" s="1474">
        <f>IF(I32&lt;&gt;0,Sources!$J$70/-12,0)</f>
        <v>0</v>
      </c>
      <c r="K32" s="922">
        <f t="shared" ref="K32:K43" si="13">IF(H32+I32+J32&lt;0,H32+I32+J32,0)</f>
        <v>0</v>
      </c>
      <c r="L32" s="389">
        <f>IF(C32=0,0,1)</f>
        <v>0</v>
      </c>
      <c r="M32" s="389">
        <f>L32+M29</f>
        <v>0</v>
      </c>
      <c r="N32" s="389">
        <f t="shared" si="5"/>
        <v>0</v>
      </c>
      <c r="O32" s="389">
        <f t="shared" si="6"/>
        <v>0</v>
      </c>
      <c r="P32" s="389">
        <f t="shared" si="7"/>
        <v>0</v>
      </c>
    </row>
    <row r="33" spans="1:16">
      <c r="A33" s="394" t="s">
        <v>166</v>
      </c>
      <c r="B33" s="395">
        <f t="shared" ref="B33:B43" ca="1" si="14">B19+1</f>
        <v>2026</v>
      </c>
      <c r="C33" s="1472">
        <f>IF(D32+C32&gt;'Units&amp;Income'!$AV$94,'Units&amp;Income'!$AV$94-Lease_Up!D32,Lease_Up!C32)</f>
        <v>0</v>
      </c>
      <c r="D33" s="1473">
        <f t="shared" ref="D33:D43" si="15">C33+D32</f>
        <v>0</v>
      </c>
      <c r="E33" s="1465" t="str">
        <f>IF('Units&amp;Income'!$AV$94=0,"",D33/'Units&amp;Income'!$AV$94)</f>
        <v/>
      </c>
      <c r="F33" s="1464">
        <f>IF($E$43=1,E33*'LIHTCs&amp;BLDGs'!$B$59/12,0)</f>
        <v>0</v>
      </c>
      <c r="G33" s="1464"/>
      <c r="H33" s="1474">
        <f>IF(E33&lt;1,E33*'Units&amp;Income'!$AW$98/12,0)</f>
        <v>0</v>
      </c>
      <c r="I33" s="1474">
        <f>IF(H33&gt;0,-Op_Costs!$G$62/12,0)</f>
        <v>0</v>
      </c>
      <c r="J33" s="1474">
        <f>IF(I33&lt;&gt;0,Sources!$J$70/-12,0)</f>
        <v>0</v>
      </c>
      <c r="K33" s="922">
        <f t="shared" si="13"/>
        <v>0</v>
      </c>
      <c r="L33" s="389">
        <f t="shared" ref="L33:L43" si="16">IF(C33=0,0,1)</f>
        <v>0</v>
      </c>
      <c r="M33" s="389">
        <f>L33+M32</f>
        <v>0</v>
      </c>
      <c r="N33" s="389">
        <f t="shared" si="5"/>
        <v>0</v>
      </c>
      <c r="O33" s="389">
        <f t="shared" si="6"/>
        <v>0</v>
      </c>
      <c r="P33" s="389">
        <f t="shared" si="7"/>
        <v>0</v>
      </c>
    </row>
    <row r="34" spans="1:16">
      <c r="A34" s="394" t="s">
        <v>803</v>
      </c>
      <c r="B34" s="395">
        <f t="shared" ca="1" si="14"/>
        <v>2026</v>
      </c>
      <c r="C34" s="1472">
        <f>IF(D33+C33&gt;'Units&amp;Income'!$AV$94,'Units&amp;Income'!$AV$94-Lease_Up!D33,Lease_Up!C33)</f>
        <v>0</v>
      </c>
      <c r="D34" s="1473">
        <f t="shared" si="15"/>
        <v>0</v>
      </c>
      <c r="E34" s="1465" t="str">
        <f>IF('Units&amp;Income'!$AV$94=0,"",D34/'Units&amp;Income'!$AV$94)</f>
        <v/>
      </c>
      <c r="F34" s="1464">
        <f>IF($E$43=1,E34*'LIHTCs&amp;BLDGs'!$B$59/12,0)</f>
        <v>0</v>
      </c>
      <c r="G34" s="1464"/>
      <c r="H34" s="1474">
        <f>IF(E34&lt;1,E34*'Units&amp;Income'!$AW$98/12,0)</f>
        <v>0</v>
      </c>
      <c r="I34" s="1474">
        <f>IF(H34&gt;0,-Op_Costs!$G$62/12,0)</f>
        <v>0</v>
      </c>
      <c r="J34" s="1474">
        <f>IF(I34&lt;&gt;0,Sources!$J$70/-12,0)</f>
        <v>0</v>
      </c>
      <c r="K34" s="922">
        <f t="shared" si="13"/>
        <v>0</v>
      </c>
      <c r="L34" s="389">
        <f t="shared" si="16"/>
        <v>0</v>
      </c>
      <c r="M34" s="389">
        <f t="shared" ref="M34:M43" si="17">L34+M33</f>
        <v>0</v>
      </c>
      <c r="N34" s="389">
        <f t="shared" si="5"/>
        <v>0</v>
      </c>
      <c r="O34" s="389">
        <f t="shared" si="6"/>
        <v>0</v>
      </c>
      <c r="P34" s="389">
        <f t="shared" si="7"/>
        <v>0</v>
      </c>
    </row>
    <row r="35" spans="1:16">
      <c r="A35" s="394" t="s">
        <v>804</v>
      </c>
      <c r="B35" s="395">
        <f t="shared" ca="1" si="14"/>
        <v>2026</v>
      </c>
      <c r="C35" s="1472">
        <f>IF(D34+C34&gt;'Units&amp;Income'!$AV$94,'Units&amp;Income'!$AV$94-Lease_Up!D34,Lease_Up!C34)</f>
        <v>0</v>
      </c>
      <c r="D35" s="1473">
        <f t="shared" si="15"/>
        <v>0</v>
      </c>
      <c r="E35" s="1465" t="str">
        <f>IF('Units&amp;Income'!$AV$94=0,"",D35/'Units&amp;Income'!$AV$94)</f>
        <v/>
      </c>
      <c r="F35" s="1464">
        <f>IF($E$43=1,E35*'LIHTCs&amp;BLDGs'!$B$59/12,0)</f>
        <v>0</v>
      </c>
      <c r="G35" s="1464"/>
      <c r="H35" s="1474">
        <f>IF(E35&lt;1,E35*'Units&amp;Income'!$AW$98/12,0)</f>
        <v>0</v>
      </c>
      <c r="I35" s="1474">
        <f>IF(H35&gt;0,-Op_Costs!$G$62/12,0)</f>
        <v>0</v>
      </c>
      <c r="J35" s="1474">
        <f>IF(I35&lt;&gt;0,Sources!$J$70/-12,0)</f>
        <v>0</v>
      </c>
      <c r="K35" s="922">
        <f t="shared" si="13"/>
        <v>0</v>
      </c>
      <c r="L35" s="389">
        <f t="shared" si="16"/>
        <v>0</v>
      </c>
      <c r="M35" s="389">
        <f t="shared" si="17"/>
        <v>0</v>
      </c>
      <c r="N35" s="389">
        <f t="shared" si="5"/>
        <v>0</v>
      </c>
      <c r="O35" s="389">
        <f t="shared" si="6"/>
        <v>0</v>
      </c>
      <c r="P35" s="389">
        <f t="shared" si="7"/>
        <v>0</v>
      </c>
    </row>
    <row r="36" spans="1:16">
      <c r="A36" s="394" t="s">
        <v>805</v>
      </c>
      <c r="B36" s="395">
        <f t="shared" ca="1" si="14"/>
        <v>2026</v>
      </c>
      <c r="C36" s="1472">
        <f>IF(D35+C35&gt;'Units&amp;Income'!$AV$94,'Units&amp;Income'!$AV$94-Lease_Up!D35,Lease_Up!C35)</f>
        <v>0</v>
      </c>
      <c r="D36" s="1473">
        <f t="shared" si="15"/>
        <v>0</v>
      </c>
      <c r="E36" s="1465" t="str">
        <f>IF('Units&amp;Income'!$AV$94=0,"",D36/'Units&amp;Income'!$AV$94)</f>
        <v/>
      </c>
      <c r="F36" s="1464">
        <f>IF($E$43=1,E36*'LIHTCs&amp;BLDGs'!$B$59/12,0)</f>
        <v>0</v>
      </c>
      <c r="G36" s="1464"/>
      <c r="H36" s="1474">
        <f>IF(E36&lt;1,E36*'Units&amp;Income'!$AW$98/12,0)</f>
        <v>0</v>
      </c>
      <c r="I36" s="1474">
        <f>IF(H36&gt;0,-Op_Costs!$G$62/12,0)</f>
        <v>0</v>
      </c>
      <c r="J36" s="1474">
        <f>IF(I36&lt;&gt;0,Sources!$J$70/-12,0)</f>
        <v>0</v>
      </c>
      <c r="K36" s="922">
        <f t="shared" si="13"/>
        <v>0</v>
      </c>
      <c r="L36" s="389">
        <f t="shared" si="16"/>
        <v>0</v>
      </c>
      <c r="M36" s="389">
        <f t="shared" si="17"/>
        <v>0</v>
      </c>
      <c r="N36" s="389">
        <f>IF(O35&gt;0,0,IF(E36=1,B36,0))</f>
        <v>0</v>
      </c>
      <c r="O36" s="389">
        <f t="shared" si="6"/>
        <v>0</v>
      </c>
      <c r="P36" s="389">
        <f t="shared" si="7"/>
        <v>0</v>
      </c>
    </row>
    <row r="37" spans="1:16">
      <c r="A37" s="394" t="s">
        <v>806</v>
      </c>
      <c r="B37" s="395">
        <f t="shared" ca="1" si="14"/>
        <v>2026</v>
      </c>
      <c r="C37" s="1472">
        <f>IF(D36+C36&gt;'Units&amp;Income'!$AV$94,'Units&amp;Income'!$AV$94-Lease_Up!D36,Lease_Up!C36)</f>
        <v>0</v>
      </c>
      <c r="D37" s="1473">
        <f t="shared" si="15"/>
        <v>0</v>
      </c>
      <c r="E37" s="1465" t="str">
        <f>IF('Units&amp;Income'!$AV$94=0,"",D37/'Units&amp;Income'!$AV$94)</f>
        <v/>
      </c>
      <c r="F37" s="1464">
        <f>IF($E$43=1,E37*'LIHTCs&amp;BLDGs'!$B$59/12,0)</f>
        <v>0</v>
      </c>
      <c r="G37" s="1464"/>
      <c r="H37" s="1474">
        <f>IF(E37&lt;1,E37*'Units&amp;Income'!$AW$98/12,0)</f>
        <v>0</v>
      </c>
      <c r="I37" s="1474">
        <f>IF(H37&gt;0,-Op_Costs!$G$62/12,0)</f>
        <v>0</v>
      </c>
      <c r="J37" s="1474">
        <f>IF(I37&lt;&gt;0,Sources!$J$70/-12,0)</f>
        <v>0</v>
      </c>
      <c r="K37" s="922">
        <f t="shared" si="13"/>
        <v>0</v>
      </c>
      <c r="L37" s="389">
        <f t="shared" si="16"/>
        <v>0</v>
      </c>
      <c r="M37" s="389">
        <f t="shared" si="17"/>
        <v>0</v>
      </c>
      <c r="N37" s="389">
        <f t="shared" si="5"/>
        <v>0</v>
      </c>
      <c r="O37" s="389">
        <f t="shared" si="6"/>
        <v>0</v>
      </c>
      <c r="P37" s="389">
        <f t="shared" si="7"/>
        <v>0</v>
      </c>
    </row>
    <row r="38" spans="1:16">
      <c r="A38" s="394" t="s">
        <v>807</v>
      </c>
      <c r="B38" s="395">
        <f t="shared" ca="1" si="14"/>
        <v>2026</v>
      </c>
      <c r="C38" s="1472">
        <f>IF(D37+C37&gt;'Units&amp;Income'!$AV$94,'Units&amp;Income'!$AV$94-Lease_Up!D37,Lease_Up!C37)</f>
        <v>0</v>
      </c>
      <c r="D38" s="1473">
        <f t="shared" si="15"/>
        <v>0</v>
      </c>
      <c r="E38" s="1465" t="str">
        <f>IF('Units&amp;Income'!$AV$94=0,"",D38/'Units&amp;Income'!$AV$94)</f>
        <v/>
      </c>
      <c r="F38" s="1464">
        <f>IF($E$43=1,E38*'LIHTCs&amp;BLDGs'!$B$59/12,0)</f>
        <v>0</v>
      </c>
      <c r="G38" s="1464"/>
      <c r="H38" s="1474">
        <f>IF(E38&lt;1,E38*'Units&amp;Income'!$AW$98/12,0)</f>
        <v>0</v>
      </c>
      <c r="I38" s="1474">
        <f>IF(H38&gt;0,-Op_Costs!$G$62/12,0)</f>
        <v>0</v>
      </c>
      <c r="J38" s="1474">
        <f>IF(I38&lt;&gt;0,Sources!$J$70/-12,0)</f>
        <v>0</v>
      </c>
      <c r="K38" s="922">
        <f t="shared" si="13"/>
        <v>0</v>
      </c>
      <c r="L38" s="389">
        <f t="shared" si="16"/>
        <v>0</v>
      </c>
      <c r="M38" s="389">
        <f t="shared" si="17"/>
        <v>0</v>
      </c>
      <c r="N38" s="389">
        <f t="shared" si="5"/>
        <v>0</v>
      </c>
      <c r="O38" s="389">
        <f t="shared" si="6"/>
        <v>0</v>
      </c>
      <c r="P38" s="389">
        <f t="shared" si="7"/>
        <v>0</v>
      </c>
    </row>
    <row r="39" spans="1:16">
      <c r="A39" s="394" t="s">
        <v>808</v>
      </c>
      <c r="B39" s="395">
        <f t="shared" ca="1" si="14"/>
        <v>2026</v>
      </c>
      <c r="C39" s="1472">
        <f>IF(D38+C38&gt;'Units&amp;Income'!$AV$94,'Units&amp;Income'!$AV$94-Lease_Up!D38,Lease_Up!C38)</f>
        <v>0</v>
      </c>
      <c r="D39" s="1473">
        <f t="shared" si="15"/>
        <v>0</v>
      </c>
      <c r="E39" s="1465" t="str">
        <f>IF('Units&amp;Income'!$AV$94=0,"",D39/'Units&amp;Income'!$AV$94)</f>
        <v/>
      </c>
      <c r="F39" s="1464">
        <f>IF($E$43=1,E39*'LIHTCs&amp;BLDGs'!$B$59/12,0)</f>
        <v>0</v>
      </c>
      <c r="G39" s="1464"/>
      <c r="H39" s="1474">
        <f>IF(E39&lt;1,E39*'Units&amp;Income'!$AW$98/12,0)</f>
        <v>0</v>
      </c>
      <c r="I39" s="1474">
        <f>IF(H39&gt;0,-Op_Costs!$G$62/12,0)</f>
        <v>0</v>
      </c>
      <c r="J39" s="1474">
        <f>IF(I39&lt;&gt;0,Sources!$J$70/-12,0)</f>
        <v>0</v>
      </c>
      <c r="K39" s="922">
        <f t="shared" si="13"/>
        <v>0</v>
      </c>
      <c r="L39" s="389">
        <f t="shared" si="16"/>
        <v>0</v>
      </c>
      <c r="M39" s="389">
        <f t="shared" si="17"/>
        <v>0</v>
      </c>
      <c r="N39" s="389">
        <f t="shared" si="5"/>
        <v>0</v>
      </c>
      <c r="O39" s="389">
        <f t="shared" si="6"/>
        <v>0</v>
      </c>
      <c r="P39" s="389">
        <f t="shared" si="7"/>
        <v>0</v>
      </c>
    </row>
    <row r="40" spans="1:16">
      <c r="A40" s="394" t="s">
        <v>809</v>
      </c>
      <c r="B40" s="395">
        <f t="shared" ca="1" si="14"/>
        <v>2026</v>
      </c>
      <c r="C40" s="1472">
        <f>IF(D39+C39&gt;'Units&amp;Income'!$AV$94,'Units&amp;Income'!$AV$94-Lease_Up!D39,Lease_Up!C39)</f>
        <v>0</v>
      </c>
      <c r="D40" s="1473">
        <f t="shared" si="15"/>
        <v>0</v>
      </c>
      <c r="E40" s="1465" t="str">
        <f>IF('Units&amp;Income'!$AV$94=0,"",D40/'Units&amp;Income'!$AV$94)</f>
        <v/>
      </c>
      <c r="F40" s="1464">
        <f>IF($E$43=1,E40*'LIHTCs&amp;BLDGs'!$B$59/12,0)</f>
        <v>0</v>
      </c>
      <c r="G40" s="1464"/>
      <c r="H40" s="1474">
        <f>IF(E40&lt;1,E40*'Units&amp;Income'!$AW$98/12,0)</f>
        <v>0</v>
      </c>
      <c r="I40" s="1474">
        <f>IF(H40&gt;0,-Op_Costs!$G$62/12,0)</f>
        <v>0</v>
      </c>
      <c r="J40" s="1474">
        <f>IF(I40&lt;&gt;0,Sources!$J$70/-12,0)</f>
        <v>0</v>
      </c>
      <c r="K40" s="922">
        <f t="shared" si="13"/>
        <v>0</v>
      </c>
      <c r="L40" s="389">
        <f t="shared" si="16"/>
        <v>0</v>
      </c>
      <c r="M40" s="389">
        <f t="shared" si="17"/>
        <v>0</v>
      </c>
      <c r="N40" s="389">
        <f t="shared" si="5"/>
        <v>0</v>
      </c>
      <c r="O40" s="389">
        <f t="shared" si="6"/>
        <v>0</v>
      </c>
      <c r="P40" s="389">
        <f t="shared" si="7"/>
        <v>0</v>
      </c>
    </row>
    <row r="41" spans="1:16">
      <c r="A41" s="394" t="s">
        <v>810</v>
      </c>
      <c r="B41" s="395">
        <f t="shared" ca="1" si="14"/>
        <v>2026</v>
      </c>
      <c r="C41" s="1472">
        <f>IF(D40+C40&gt;'Units&amp;Income'!$AV$94,'Units&amp;Income'!$AV$94-Lease_Up!D40,Lease_Up!C40)</f>
        <v>0</v>
      </c>
      <c r="D41" s="1473">
        <f t="shared" si="15"/>
        <v>0</v>
      </c>
      <c r="E41" s="1465" t="str">
        <f>IF('Units&amp;Income'!$AV$94=0,"",D41/'Units&amp;Income'!$AV$94)</f>
        <v/>
      </c>
      <c r="F41" s="1464">
        <f>IF($E$43=1,E41*'LIHTCs&amp;BLDGs'!$B$59/12,0)</f>
        <v>0</v>
      </c>
      <c r="G41" s="1464"/>
      <c r="H41" s="1474">
        <f>IF(E41&lt;1,E41*'Units&amp;Income'!$AW$98/12,0)</f>
        <v>0</v>
      </c>
      <c r="I41" s="1474">
        <f>IF(H41&gt;0,-Op_Costs!$G$62/12,0)</f>
        <v>0</v>
      </c>
      <c r="J41" s="1474">
        <f>IF(I41&lt;&gt;0,Sources!$J$70/-12,0)</f>
        <v>0</v>
      </c>
      <c r="K41" s="922">
        <f t="shared" si="13"/>
        <v>0</v>
      </c>
      <c r="L41" s="389">
        <f t="shared" si="16"/>
        <v>0</v>
      </c>
      <c r="M41" s="389">
        <f t="shared" si="17"/>
        <v>0</v>
      </c>
      <c r="N41" s="389">
        <f t="shared" si="5"/>
        <v>0</v>
      </c>
      <c r="O41" s="389">
        <f t="shared" si="6"/>
        <v>0</v>
      </c>
      <c r="P41" s="389">
        <f t="shared" si="7"/>
        <v>0</v>
      </c>
    </row>
    <row r="42" spans="1:16">
      <c r="A42" s="394" t="s">
        <v>811</v>
      </c>
      <c r="B42" s="395">
        <f t="shared" ca="1" si="14"/>
        <v>2026</v>
      </c>
      <c r="C42" s="1472">
        <f>IF(D41+C41&gt;'Units&amp;Income'!$AV$94,'Units&amp;Income'!$AV$94-Lease_Up!D41,Lease_Up!C41)</f>
        <v>0</v>
      </c>
      <c r="D42" s="1473">
        <f t="shared" si="15"/>
        <v>0</v>
      </c>
      <c r="E42" s="1465" t="str">
        <f>IF('Units&amp;Income'!$AV$94=0,"",D42/'Units&amp;Income'!$AV$94)</f>
        <v/>
      </c>
      <c r="F42" s="1464">
        <f>IF($E$43=1,E42*'LIHTCs&amp;BLDGs'!$B$59/12,0)</f>
        <v>0</v>
      </c>
      <c r="G42" s="1464"/>
      <c r="H42" s="1474">
        <f>IF(E42&lt;1,E42*'Units&amp;Income'!$AW$98/12,0)</f>
        <v>0</v>
      </c>
      <c r="I42" s="1474">
        <f>IF(H42&gt;0,-Op_Costs!$G$62/12,0)</f>
        <v>0</v>
      </c>
      <c r="J42" s="1474">
        <f>IF(I42&lt;&gt;0,Sources!$J$70/-12,0)</f>
        <v>0</v>
      </c>
      <c r="K42" s="922">
        <f t="shared" si="13"/>
        <v>0</v>
      </c>
      <c r="L42" s="389">
        <f t="shared" si="16"/>
        <v>0</v>
      </c>
      <c r="M42" s="389">
        <f t="shared" si="17"/>
        <v>0</v>
      </c>
      <c r="N42" s="389">
        <f t="shared" si="5"/>
        <v>0</v>
      </c>
      <c r="O42" s="389">
        <f t="shared" si="6"/>
        <v>0</v>
      </c>
      <c r="P42" s="389">
        <f t="shared" si="7"/>
        <v>0</v>
      </c>
    </row>
    <row r="43" spans="1:16" ht="13.5" thickBot="1">
      <c r="A43" s="396" t="s">
        <v>812</v>
      </c>
      <c r="B43" s="397">
        <f t="shared" ca="1" si="14"/>
        <v>2026</v>
      </c>
      <c r="C43" s="1475">
        <f>IF(D42+C42&gt;'Units&amp;Income'!$AV$94,'Units&amp;Income'!$AV$94-Lease_Up!D42,Lease_Up!C42)</f>
        <v>0</v>
      </c>
      <c r="D43" s="1476">
        <f t="shared" si="15"/>
        <v>0</v>
      </c>
      <c r="E43" s="1465" t="str">
        <f>IF('Units&amp;Income'!$AV$94=0,"",D43/'Units&amp;Income'!$AV$94)</f>
        <v/>
      </c>
      <c r="F43" s="1477">
        <f>IF($E$43=1,E43*'LIHTCs&amp;BLDGs'!$B$59/12,0)</f>
        <v>0</v>
      </c>
      <c r="G43" s="1477"/>
      <c r="H43" s="1474">
        <f>IF(E43&lt;1,E43*'Units&amp;Income'!$AW$98/12,0)</f>
        <v>0</v>
      </c>
      <c r="I43" s="1474">
        <f>IF(H43&gt;0,-Op_Costs!$G$62/12,0)</f>
        <v>0</v>
      </c>
      <c r="J43" s="1474">
        <f>IF(I43&lt;&gt;0,Sources!$J$70/-12,0)</f>
        <v>0</v>
      </c>
      <c r="K43" s="922">
        <f t="shared" si="13"/>
        <v>0</v>
      </c>
      <c r="L43" s="389">
        <f t="shared" si="16"/>
        <v>0</v>
      </c>
      <c r="M43" s="389">
        <f t="shared" si="17"/>
        <v>0</v>
      </c>
      <c r="N43" s="389">
        <f t="shared" si="5"/>
        <v>0</v>
      </c>
      <c r="O43" s="389">
        <f t="shared" si="6"/>
        <v>0</v>
      </c>
      <c r="P43" s="389">
        <f t="shared" si="7"/>
        <v>0</v>
      </c>
    </row>
    <row r="44" spans="1:16" s="393" customFormat="1" ht="13.5" thickBot="1">
      <c r="A44" s="1478" t="s">
        <v>813</v>
      </c>
      <c r="B44" s="1479"/>
      <c r="C44" s="1480">
        <f>SUM(C32:C43)</f>
        <v>0</v>
      </c>
      <c r="D44" s="1480"/>
      <c r="E44" s="1481"/>
      <c r="F44" s="1482">
        <f>SUM(F32:F43)</f>
        <v>0</v>
      </c>
      <c r="G44" s="1483"/>
      <c r="H44" s="1491" t="s">
        <v>814</v>
      </c>
      <c r="I44" s="1492"/>
      <c r="J44" s="1492"/>
      <c r="K44" s="1493">
        <f>SUM(K32:K43)</f>
        <v>0</v>
      </c>
      <c r="L44" s="1470"/>
      <c r="M44" s="1470"/>
      <c r="N44" s="1470"/>
      <c r="O44" s="1470"/>
      <c r="P44" s="1470"/>
    </row>
    <row r="45" spans="1:16" ht="13.5" thickBot="1">
      <c r="A45" s="394"/>
      <c r="C45" s="1464"/>
      <c r="D45" s="1464"/>
      <c r="E45" s="1465"/>
      <c r="F45" s="1464"/>
      <c r="G45" s="1464"/>
      <c r="H45" s="1494" t="s">
        <v>815</v>
      </c>
      <c r="I45" s="1495"/>
      <c r="J45" s="1495"/>
      <c r="K45" s="1496">
        <f>-(K44+K30+K16)</f>
        <v>0</v>
      </c>
    </row>
    <row r="46" spans="1:16">
      <c r="A46" s="394" t="s">
        <v>816</v>
      </c>
      <c r="C46" s="1464"/>
      <c r="D46" s="1464"/>
      <c r="E46" s="1465"/>
      <c r="F46" s="1464"/>
      <c r="G46" s="1464"/>
      <c r="H46" s="1464"/>
      <c r="I46" s="1464"/>
      <c r="J46" s="1464"/>
    </row>
  </sheetData>
  <sheetProtection algorithmName="SHA-512" hashValue="Egvqno6ng9vF8v2ZcDebb13xKVC5y0s1WDwYncY8I87en9vSyoVDG3/lJCk4/gkt/D79+hV3Ph+iDbMADnlrQg==" saltValue="LkaLIjPanHrzguZrgiixMg==" spinCount="100000" sheet="1" objects="1" scenarios="1"/>
  <mergeCells count="2">
    <mergeCell ref="A1:D1"/>
    <mergeCell ref="H2:K2"/>
  </mergeCells>
  <phoneticPr fontId="53" type="noConversion"/>
  <dataValidations count="9">
    <dataValidation allowBlank="1" showInputMessage="1" showErrorMessage="1" promptTitle="Year" prompt="Three years are always shown._x000a_The first year is the year entered on the Setup Tab when the Lease-Up Begins (cell R39)._x000a_" sqref="B4:B15 B18:B29 B32:B43" xr:uid="{00000000-0002-0000-0900-000000000000}"/>
    <dataValidation allowBlank="1" showInputMessage="1" showErrorMessage="1" promptTitle="# Units Leased" prompt="The value in Setup cell R40 is entered every month, beginning with the month lease-up begins until all units have been leased." sqref="C4:C43" xr:uid="{00000000-0002-0000-0900-000001000000}"/>
    <dataValidation allowBlank="1" showInputMessage="1" showErrorMessage="1" promptTitle="# Units Occupied" prompt="Occupied units are defaulted to the cumulative units leased, but can be overwritten. " sqref="D32:D43 D18:D29 D4:D15" xr:uid="{00000000-0002-0000-0900-000002000000}"/>
    <dataValidation allowBlank="1" showInputMessage="1" showErrorMessage="1" promptTitle="% Units Occupied" prompt="This value = # Units Occupied / Total # of Units." sqref="E3:E43" xr:uid="{00000000-0002-0000-0900-000003000000}"/>
    <dataValidation allowBlank="1" showInputMessage="1" showErrorMessage="1" promptTitle="Est. LIHTCs Delivered" prompt="Program assumes that all buildings will be Placed in Service in the same year. LIHTCs beginning accruing on the first year that the buildings are 100% occupied. Partial LIHTCs are allocated the first year, full LIHTC amounts allocated thereafter." sqref="F3:G44" xr:uid="{00000000-0002-0000-0900-000004000000}"/>
    <dataValidation allowBlank="1" showInputMessage="1" showErrorMessage="1" promptTitle="Income" prompt="This is the estimated residential income obtained monthly. Income is only shown when occupancy is LESS THAN 100%. " sqref="H1:H1048576" xr:uid="{00000000-0002-0000-0900-000005000000}"/>
    <dataValidation allowBlank="1" showInputMessage="1" showErrorMessage="1" promptTitle="Expenses" prompt="This is the estimated monthly expenses and equals 1/12 of annual operating costs. Expenses are shown for any month when Income &gt; 0." sqref="I1:I1048576" xr:uid="{00000000-0002-0000-0900-000006000000}"/>
    <dataValidation allowBlank="1" showInputMessage="1" showErrorMessage="1" promptTitle="Lease-Up Reserve" prompt="The lease-up reserve is calculated as the sum of all months of negative cash flow (when expenses and debt exceed income)." sqref="K1:K1048576" xr:uid="{00000000-0002-0000-0900-000007000000}"/>
    <dataValidation allowBlank="1" showInputMessage="1" showErrorMessage="1" promptTitle="Debt" prompt="This is the monthly debt payment estimated based on the Summary of Sources page. You will need to overwrite debt payments if they start sooner or later than when occupancy begins." sqref="J1:J1048576" xr:uid="{00000000-0002-0000-0900-000008000000}"/>
  </dataValidations>
  <printOptions horizontalCentered="1"/>
  <pageMargins left="0.46" right="0.44" top="1" bottom="1" header="0.5" footer="0.5"/>
  <pageSetup scale="86" orientation="portrait" horizontalDpi="1200" verticalDpi="1200" r:id="rId1"/>
  <headerFooter alignWithMargins="0">
    <oddHeader>&amp;C&amp;12Lease-Up Schedule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G452"/>
  <sheetViews>
    <sheetView workbookViewId="0">
      <selection activeCell="C139" sqref="C139"/>
    </sheetView>
  </sheetViews>
  <sheetFormatPr defaultColWidth="8.85546875" defaultRowHeight="12.75"/>
  <cols>
    <col min="1" max="1" width="2.7109375" customWidth="1"/>
    <col min="2" max="2" width="26.42578125" customWidth="1"/>
    <col min="3" max="3" width="15.42578125" style="375" customWidth="1"/>
    <col min="4" max="4" width="14.140625" style="375" customWidth="1"/>
    <col min="5" max="5" width="15.7109375" style="375" customWidth="1"/>
    <col min="6" max="6" width="21.140625" style="375" customWidth="1"/>
    <col min="7" max="7" width="29.42578125" style="376" customWidth="1"/>
  </cols>
  <sheetData>
    <row r="1" spans="1:7" s="373" customFormat="1">
      <c r="A1" s="374" t="str">
        <f>Setup!D7</f>
        <v>Enter Project Name Here</v>
      </c>
      <c r="B1" s="1497"/>
      <c r="C1" s="1497"/>
      <c r="D1" s="1498"/>
      <c r="E1" s="1498"/>
      <c r="F1" s="1498"/>
      <c r="G1" s="1499"/>
    </row>
    <row r="3" spans="1:7" ht="13.5" thickBot="1">
      <c r="A3" s="1500" t="s">
        <v>817</v>
      </c>
      <c r="B3" s="1500"/>
      <c r="C3" s="1501" t="s">
        <v>818</v>
      </c>
      <c r="D3" s="1501" t="s">
        <v>819</v>
      </c>
      <c r="E3" s="1501" t="s">
        <v>820</v>
      </c>
      <c r="F3" s="1501" t="s">
        <v>821</v>
      </c>
      <c r="G3" s="1502" t="s">
        <v>277</v>
      </c>
    </row>
    <row r="4" spans="1:7" s="303" customFormat="1" ht="12" hidden="1">
      <c r="A4" s="1346" t="str">
        <f>IF(DevCosts!B3="","",DevCosts!B3)</f>
        <v/>
      </c>
      <c r="B4" s="1346" t="str">
        <f>IF(DevCosts!C3="","",DevCosts!C3)</f>
        <v>Building Cost</v>
      </c>
      <c r="C4" s="1503">
        <f>IF(DevCosts!D3="","",DevCosts!D3)</f>
        <v>0</v>
      </c>
      <c r="D4" s="1504">
        <f>C4</f>
        <v>0</v>
      </c>
      <c r="E4" s="1505">
        <f>C4-D4</f>
        <v>0</v>
      </c>
      <c r="F4" s="1504" t="e">
        <f t="shared" ref="F4:F12" ca="1" si="0">D4*$C$140/$D$131</f>
        <v>#DIV/0!</v>
      </c>
      <c r="G4" s="1506"/>
    </row>
    <row r="5" spans="1:7" s="303" customFormat="1" ht="12" hidden="1">
      <c r="A5" s="1346" t="str">
        <f>IF(DevCosts!B4="","",DevCosts!B4)</f>
        <v/>
      </c>
      <c r="B5" s="1346" t="str">
        <f>IF(DevCosts!C4="","",DevCosts!C4)</f>
        <v>Land Cost</v>
      </c>
      <c r="C5" s="1503">
        <f>IF(DevCosts!D4="","",DevCosts!D4)</f>
        <v>0</v>
      </c>
      <c r="D5" s="1504">
        <f>C5</f>
        <v>0</v>
      </c>
      <c r="E5" s="1505">
        <f t="shared" ref="E5:E68" si="1">C5-D5</f>
        <v>0</v>
      </c>
      <c r="F5" s="1504" t="e">
        <f t="shared" ca="1" si="0"/>
        <v>#DIV/0!</v>
      </c>
      <c r="G5" s="1506"/>
    </row>
    <row r="6" spans="1:7" s="303" customFormat="1" ht="12" hidden="1">
      <c r="A6" s="1346" t="str">
        <f>IF(DevCosts!B5="","",DevCosts!B5)</f>
        <v/>
      </c>
      <c r="B6" s="1346" t="str">
        <f>IF(DevCosts!C5="","",DevCosts!C5)</f>
        <v>Refinance/ Loan Pay-Off</v>
      </c>
      <c r="C6" s="1503">
        <f>IF(DevCosts!D5="","",DevCosts!D5)</f>
        <v>0</v>
      </c>
      <c r="D6" s="1504">
        <f>C140</f>
        <v>0</v>
      </c>
      <c r="E6" s="1505">
        <f t="shared" si="1"/>
        <v>0</v>
      </c>
      <c r="F6" s="1504" t="e">
        <f t="shared" ca="1" si="0"/>
        <v>#DIV/0!</v>
      </c>
      <c r="G6" s="1506"/>
    </row>
    <row r="7" spans="1:7" s="303" customFormat="1" ht="12" hidden="1">
      <c r="A7" s="1346" t="str">
        <f>IF(DevCosts!B6="","",DevCosts!B6)</f>
        <v/>
      </c>
      <c r="B7" s="1346" t="str">
        <f>IF(DevCosts!C6="","",DevCosts!C6)</f>
        <v>Carrying Costs</v>
      </c>
      <c r="C7" s="1503">
        <f>IF(DevCosts!D6="","",DevCosts!D6)</f>
        <v>0</v>
      </c>
      <c r="D7" s="1504">
        <f t="shared" ref="D7:D12" si="2">C7</f>
        <v>0</v>
      </c>
      <c r="E7" s="1505">
        <f t="shared" si="1"/>
        <v>0</v>
      </c>
      <c r="F7" s="1504" t="e">
        <f t="shared" ca="1" si="0"/>
        <v>#DIV/0!</v>
      </c>
      <c r="G7" s="1506"/>
    </row>
    <row r="8" spans="1:7" s="303" customFormat="1" ht="12" hidden="1">
      <c r="A8" s="1346" t="str">
        <f>IF(DevCosts!B7="","",DevCosts!B7)</f>
        <v/>
      </c>
      <c r="B8" s="1346" t="str">
        <f>IF(DevCosts!C7="","",DevCosts!C7)</f>
        <v>Transfer Stamps</v>
      </c>
      <c r="C8" s="1503">
        <f>IF(DevCosts!D7="","",DevCosts!D7)</f>
        <v>0</v>
      </c>
      <c r="D8" s="1504">
        <v>0</v>
      </c>
      <c r="E8" s="1505">
        <f t="shared" si="1"/>
        <v>0</v>
      </c>
      <c r="F8" s="1504" t="e">
        <f t="shared" ca="1" si="0"/>
        <v>#DIV/0!</v>
      </c>
      <c r="G8" s="1506"/>
    </row>
    <row r="9" spans="1:7" s="303" customFormat="1" ht="12" hidden="1">
      <c r="A9" s="1346" t="str">
        <f>IF(DevCosts!B8="","",DevCosts!B8)</f>
        <v/>
      </c>
      <c r="B9" s="1346" t="str">
        <f>IF(DevCosts!C8="","",DevCosts!C8)</f>
        <v xml:space="preserve">Insurance  </v>
      </c>
      <c r="C9" s="1503">
        <f>IF(DevCosts!D8="","",DevCosts!D8)</f>
        <v>0</v>
      </c>
      <c r="D9" s="1504">
        <f t="shared" si="2"/>
        <v>0</v>
      </c>
      <c r="E9" s="1505">
        <f t="shared" si="1"/>
        <v>0</v>
      </c>
      <c r="F9" s="1504" t="e">
        <f t="shared" ca="1" si="0"/>
        <v>#DIV/0!</v>
      </c>
      <c r="G9" s="1506"/>
    </row>
    <row r="10" spans="1:7" s="303" customFormat="1" ht="12" hidden="1">
      <c r="A10" s="1346" t="str">
        <f>IF(DevCosts!B9="","",DevCosts!B9)</f>
        <v/>
      </c>
      <c r="B10" s="1346" t="str">
        <f>IF(DevCosts!C9="","",DevCosts!C9)</f>
        <v>Security</v>
      </c>
      <c r="C10" s="1503">
        <f>IF(DevCosts!D9="","",DevCosts!D9)</f>
        <v>0</v>
      </c>
      <c r="D10" s="1504">
        <f t="shared" si="2"/>
        <v>0</v>
      </c>
      <c r="E10" s="1505">
        <f t="shared" si="1"/>
        <v>0</v>
      </c>
      <c r="F10" s="1504" t="e">
        <f t="shared" ca="1" si="0"/>
        <v>#DIV/0!</v>
      </c>
      <c r="G10" s="1506"/>
    </row>
    <row r="11" spans="1:7" s="303" customFormat="1" ht="12" hidden="1">
      <c r="A11" s="1346" t="str">
        <f>IF(DevCosts!B10="","",DevCosts!B10)</f>
        <v/>
      </c>
      <c r="B11" s="1346" t="str">
        <f>IF(DevCosts!C10="","",DevCosts!C10)</f>
        <v>Legal</v>
      </c>
      <c r="C11" s="1503">
        <f>IF(DevCosts!D10="","",DevCosts!D10)</f>
        <v>0</v>
      </c>
      <c r="D11" s="1504">
        <f t="shared" si="2"/>
        <v>0</v>
      </c>
      <c r="E11" s="1505">
        <f t="shared" si="1"/>
        <v>0</v>
      </c>
      <c r="F11" s="1504" t="e">
        <f t="shared" ca="1" si="0"/>
        <v>#DIV/0!</v>
      </c>
      <c r="G11" s="1506"/>
    </row>
    <row r="12" spans="1:7" s="303" customFormat="1" ht="12" hidden="1">
      <c r="A12" s="1346" t="str">
        <f>IF(DevCosts!B11="","",DevCosts!B11)</f>
        <v/>
      </c>
      <c r="B12" s="1346" t="str">
        <f>IF(DevCosts!C11="","",DevCosts!C11)</f>
        <v>Other Acquisition</v>
      </c>
      <c r="C12" s="1503">
        <f>IF(DevCosts!D11="","",DevCosts!D11)</f>
        <v>0</v>
      </c>
      <c r="D12" s="1504">
        <f t="shared" si="2"/>
        <v>0</v>
      </c>
      <c r="E12" s="1505">
        <f t="shared" si="1"/>
        <v>0</v>
      </c>
      <c r="F12" s="1504" t="e">
        <f t="shared" ca="1" si="0"/>
        <v>#DIV/0!</v>
      </c>
      <c r="G12" s="1506"/>
    </row>
    <row r="13" spans="1:7" s="568" customFormat="1" ht="12">
      <c r="A13" s="1507" t="str">
        <f>IF(DevCosts!B12="","",DevCosts!B12)</f>
        <v>Acquisition Costs Subtotal</v>
      </c>
      <c r="B13" s="1507"/>
      <c r="C13" s="1508">
        <f>IF(DevCosts!D12="","",DevCosts!D12)</f>
        <v>0</v>
      </c>
      <c r="D13" s="1508">
        <f>SUM(D4:D12)</f>
        <v>0</v>
      </c>
      <c r="E13" s="1508">
        <f>SUM(E4:E12)</f>
        <v>0</v>
      </c>
      <c r="F13" s="1508" t="e">
        <f ca="1">SUM(F4:F12)</f>
        <v>#DIV/0!</v>
      </c>
      <c r="G13" s="1509"/>
    </row>
    <row r="14" spans="1:7" s="303" customFormat="1" ht="12" hidden="1">
      <c r="A14" s="1346" t="str">
        <f>IF(DevCosts!B13="","",DevCosts!B13)</f>
        <v/>
      </c>
      <c r="B14" s="1346" t="str">
        <f>IF(DevCosts!C13="","",DevCosts!C13)</f>
        <v>Net Construction Costs</v>
      </c>
      <c r="C14" s="1503">
        <f>IF(DevCosts!D13="","",DevCosts!D13)</f>
        <v>0</v>
      </c>
      <c r="D14" s="1504">
        <f t="shared" ref="D14:D19" si="3">C14</f>
        <v>0</v>
      </c>
      <c r="E14" s="1505">
        <f t="shared" si="1"/>
        <v>0</v>
      </c>
      <c r="F14" s="1504" t="e">
        <f t="shared" ref="F14:F19" ca="1" si="4">D14*$C$140/$D$131</f>
        <v>#DIV/0!</v>
      </c>
      <c r="G14" s="1506"/>
    </row>
    <row r="15" spans="1:7" s="303" customFormat="1" ht="12" hidden="1">
      <c r="A15" s="1346" t="str">
        <f>IF(DevCosts!B14="","",DevCosts!B14)</f>
        <v/>
      </c>
      <c r="B15" s="1346" t="str">
        <f>IF(DevCosts!C14="","",DevCosts!C14)</f>
        <v>Surface Parking</v>
      </c>
      <c r="C15" s="1503">
        <f>IF(DevCosts!D14="","",DevCosts!D14)</f>
        <v>0</v>
      </c>
      <c r="D15" s="1504">
        <f t="shared" si="3"/>
        <v>0</v>
      </c>
      <c r="E15" s="1505">
        <f t="shared" si="1"/>
        <v>0</v>
      </c>
      <c r="F15" s="1504" t="e">
        <f t="shared" ca="1" si="4"/>
        <v>#DIV/0!</v>
      </c>
      <c r="G15" s="1506"/>
    </row>
    <row r="16" spans="1:7" s="303" customFormat="1" ht="12" hidden="1">
      <c r="A16" s="1346" t="str">
        <f>IF(DevCosts!B15="","",DevCosts!B15)</f>
        <v/>
      </c>
      <c r="B16" s="1346" t="str">
        <f>IF(DevCosts!C15="","",DevCosts!C15)</f>
        <v>Other Hard Costs</v>
      </c>
      <c r="C16" s="1503">
        <f>IF(DevCosts!D15="","",DevCosts!D15)</f>
        <v>0</v>
      </c>
      <c r="D16" s="1504">
        <f t="shared" si="3"/>
        <v>0</v>
      </c>
      <c r="E16" s="1505">
        <f t="shared" si="1"/>
        <v>0</v>
      </c>
      <c r="F16" s="1504" t="e">
        <f t="shared" ca="1" si="4"/>
        <v>#DIV/0!</v>
      </c>
      <c r="G16" s="1506"/>
    </row>
    <row r="17" spans="1:7" s="303" customFormat="1" ht="12" hidden="1">
      <c r="A17" s="1346" t="str">
        <f>IF(DevCosts!B16="","",DevCosts!B16)</f>
        <v/>
      </c>
      <c r="B17" s="1346" t="str">
        <f>IF(DevCosts!C16="","",DevCosts!C16)</f>
        <v>General Conditions</v>
      </c>
      <c r="C17" s="1503">
        <f>IF(DevCosts!D16="","",DevCosts!D16)</f>
        <v>0</v>
      </c>
      <c r="D17" s="1504">
        <f t="shared" si="3"/>
        <v>0</v>
      </c>
      <c r="E17" s="1505">
        <f t="shared" si="1"/>
        <v>0</v>
      </c>
      <c r="F17" s="1504" t="e">
        <f t="shared" ca="1" si="4"/>
        <v>#DIV/0!</v>
      </c>
      <c r="G17" s="1506"/>
    </row>
    <row r="18" spans="1:7" s="303" customFormat="1" ht="12" hidden="1">
      <c r="A18" s="1346" t="str">
        <f>IF(DevCosts!B17="","",DevCosts!B17)</f>
        <v/>
      </c>
      <c r="B18" s="1346" t="str">
        <f>IF(DevCosts!C17="","",DevCosts!C17)</f>
        <v>Overhead</v>
      </c>
      <c r="C18" s="1503">
        <f>IF(DevCosts!D17="","",DevCosts!D17)</f>
        <v>0</v>
      </c>
      <c r="D18" s="1504">
        <f t="shared" si="3"/>
        <v>0</v>
      </c>
      <c r="E18" s="1505">
        <f t="shared" si="1"/>
        <v>0</v>
      </c>
      <c r="F18" s="1504" t="e">
        <f t="shared" ca="1" si="4"/>
        <v>#DIV/0!</v>
      </c>
      <c r="G18" s="1506"/>
    </row>
    <row r="19" spans="1:7" s="303" customFormat="1" ht="12" hidden="1">
      <c r="A19" s="1346" t="str">
        <f>IF(DevCosts!B18="","",DevCosts!B18)</f>
        <v/>
      </c>
      <c r="B19" s="1346" t="str">
        <f>IF(DevCosts!C18="","",DevCosts!C18)</f>
        <v>Profit</v>
      </c>
      <c r="C19" s="1503">
        <f>IF(DevCosts!D18="","",DevCosts!D18)</f>
        <v>0</v>
      </c>
      <c r="D19" s="1504">
        <f t="shared" si="3"/>
        <v>0</v>
      </c>
      <c r="E19" s="1505">
        <f t="shared" si="1"/>
        <v>0</v>
      </c>
      <c r="F19" s="1504" t="e">
        <f t="shared" ca="1" si="4"/>
        <v>#DIV/0!</v>
      </c>
      <c r="G19" s="1506"/>
    </row>
    <row r="20" spans="1:7" s="568" customFormat="1" ht="12">
      <c r="A20" s="1507" t="str">
        <f>IF(DevCosts!B19="","",DevCosts!B19)</f>
        <v>Construction Costs Subtotal</v>
      </c>
      <c r="B20" s="1507"/>
      <c r="C20" s="1508">
        <f>IF(DevCosts!D19="","",DevCosts!D19)</f>
        <v>0</v>
      </c>
      <c r="D20" s="1508">
        <f>SUM(D14:D19)</f>
        <v>0</v>
      </c>
      <c r="E20" s="1508">
        <f>SUM(E14:E19)</f>
        <v>0</v>
      </c>
      <c r="F20" s="1508" t="e">
        <f ca="1">SUM(F14:F19)</f>
        <v>#DIV/0!</v>
      </c>
      <c r="G20" s="1509"/>
    </row>
    <row r="21" spans="1:7" s="303" customFormat="1" ht="12" hidden="1">
      <c r="A21" s="1346" t="str">
        <f>IF(DevCosts!B20="","",DevCosts!B20)</f>
        <v/>
      </c>
      <c r="B21" s="1346" t="str">
        <f>IF(DevCosts!C20="","",DevCosts!C20)</f>
        <v>Furniture, Fixtures, &amp; Equip't</v>
      </c>
      <c r="C21" s="1503">
        <f>IF(DevCosts!D20="","",DevCosts!D20)</f>
        <v>0</v>
      </c>
      <c r="D21" s="1504">
        <f t="shared" ref="D21:D29" si="5">C21</f>
        <v>0</v>
      </c>
      <c r="E21" s="1505">
        <f t="shared" si="1"/>
        <v>0</v>
      </c>
      <c r="F21" s="1504" t="e">
        <f t="shared" ref="F21:F31" ca="1" si="6">D21*$C$140/$D$131</f>
        <v>#DIV/0!</v>
      </c>
      <c r="G21" s="1506"/>
    </row>
    <row r="22" spans="1:7" s="303" customFormat="1" ht="12" hidden="1">
      <c r="A22" s="1346" t="str">
        <f>IF(DevCosts!B21="","",DevCosts!B21)</f>
        <v/>
      </c>
      <c r="B22" s="1346" t="str">
        <f>IF(DevCosts!C21="","",DevCosts!C21)</f>
        <v>Building Permits</v>
      </c>
      <c r="C22" s="1503">
        <f>IF(DevCosts!D21="","",DevCosts!D21)</f>
        <v>0</v>
      </c>
      <c r="D22" s="1504">
        <f t="shared" si="5"/>
        <v>0</v>
      </c>
      <c r="E22" s="1505">
        <f t="shared" si="1"/>
        <v>0</v>
      </c>
      <c r="F22" s="1504" t="e">
        <f t="shared" ca="1" si="6"/>
        <v>#DIV/0!</v>
      </c>
      <c r="G22" s="1506"/>
    </row>
    <row r="23" spans="1:7" s="303" customFormat="1" ht="12" hidden="1">
      <c r="A23" s="1346" t="str">
        <f>IF(DevCosts!B22="","",DevCosts!B22)</f>
        <v/>
      </c>
      <c r="B23" s="1346" t="str">
        <f>IF(DevCosts!C22="","",DevCosts!C22)</f>
        <v>GC Insurance</v>
      </c>
      <c r="C23" s="1503">
        <f>IF(DevCosts!D22="","",DevCosts!D22)</f>
        <v>0</v>
      </c>
      <c r="D23" s="1504">
        <f t="shared" si="5"/>
        <v>0</v>
      </c>
      <c r="E23" s="1505">
        <f t="shared" si="1"/>
        <v>0</v>
      </c>
      <c r="F23" s="1504" t="e">
        <f t="shared" ca="1" si="6"/>
        <v>#DIV/0!</v>
      </c>
      <c r="G23" s="1506"/>
    </row>
    <row r="24" spans="1:7" s="303" customFormat="1" ht="12" hidden="1">
      <c r="A24" s="1346" t="str">
        <f>IF(DevCosts!B23="","",DevCosts!B23)</f>
        <v/>
      </c>
      <c r="B24" s="1346" t="str">
        <f>IF(DevCosts!C23="","",DevCosts!C23)</f>
        <v>Open Space Fees</v>
      </c>
      <c r="C24" s="1503">
        <f>IF(DevCosts!D23="","",DevCosts!D23)</f>
        <v>0</v>
      </c>
      <c r="D24" s="1504">
        <f t="shared" si="5"/>
        <v>0</v>
      </c>
      <c r="E24" s="1505">
        <f t="shared" si="1"/>
        <v>0</v>
      </c>
      <c r="F24" s="1504" t="e">
        <f t="shared" ca="1" si="6"/>
        <v>#DIV/0!</v>
      </c>
      <c r="G24" s="1506"/>
    </row>
    <row r="25" spans="1:7" s="303" customFormat="1" ht="12" hidden="1">
      <c r="A25" s="1346" t="str">
        <f>IF(DevCosts!B24="","",DevCosts!B24)</f>
        <v/>
      </c>
      <c r="B25" s="1346" t="str">
        <f>IF(DevCosts!C24="","",DevCosts!C24)</f>
        <v>Fencing</v>
      </c>
      <c r="C25" s="1503">
        <f>IF(DevCosts!D24="","",DevCosts!D24)</f>
        <v>0</v>
      </c>
      <c r="D25" s="1504">
        <f t="shared" si="5"/>
        <v>0</v>
      </c>
      <c r="E25" s="1505">
        <f t="shared" si="1"/>
        <v>0</v>
      </c>
      <c r="F25" s="1504" t="e">
        <f t="shared" ca="1" si="6"/>
        <v>#DIV/0!</v>
      </c>
      <c r="G25" s="1506"/>
    </row>
    <row r="26" spans="1:7" s="303" customFormat="1" ht="12" hidden="1">
      <c r="A26" s="1346" t="str">
        <f>IF(DevCosts!B25="","",DevCosts!B25)</f>
        <v/>
      </c>
      <c r="B26" s="1346" t="str">
        <f>IF(DevCosts!C25="","",DevCosts!C25)</f>
        <v>Landscaping</v>
      </c>
      <c r="C26" s="1503">
        <f>IF(DevCosts!D25="","",DevCosts!D25)</f>
        <v>0</v>
      </c>
      <c r="D26" s="1504">
        <f t="shared" si="5"/>
        <v>0</v>
      </c>
      <c r="E26" s="1505">
        <f t="shared" si="1"/>
        <v>0</v>
      </c>
      <c r="F26" s="1504" t="e">
        <f t="shared" ca="1" si="6"/>
        <v>#DIV/0!</v>
      </c>
      <c r="G26" s="1506"/>
    </row>
    <row r="27" spans="1:7" s="303" customFormat="1" ht="12" hidden="1">
      <c r="A27" s="1346" t="str">
        <f>IF(DevCosts!B26="","",DevCosts!B26)</f>
        <v/>
      </c>
      <c r="B27" s="1346" t="str">
        <f>IF(DevCosts!C26="","",DevCosts!C26)</f>
        <v>Parkways</v>
      </c>
      <c r="C27" s="1503">
        <f>IF(DevCosts!D26="","",DevCosts!D26)</f>
        <v>0</v>
      </c>
      <c r="D27" s="1504">
        <f t="shared" si="5"/>
        <v>0</v>
      </c>
      <c r="E27" s="1505">
        <f t="shared" si="1"/>
        <v>0</v>
      </c>
      <c r="F27" s="1504" t="e">
        <f t="shared" ca="1" si="6"/>
        <v>#DIV/0!</v>
      </c>
      <c r="G27" s="1506"/>
    </row>
    <row r="28" spans="1:7" s="303" customFormat="1" ht="12" hidden="1">
      <c r="A28" s="1346" t="str">
        <f>IF(DevCosts!B27="","",DevCosts!B27)</f>
        <v/>
      </c>
      <c r="B28" s="1346" t="str">
        <f>IF(DevCosts!C27="","",DevCosts!C27)</f>
        <v>Parking Pads</v>
      </c>
      <c r="C28" s="1503">
        <f>IF(DevCosts!D27="","",DevCosts!D27)</f>
        <v>0</v>
      </c>
      <c r="D28" s="1504">
        <f t="shared" si="5"/>
        <v>0</v>
      </c>
      <c r="E28" s="1505">
        <f t="shared" si="1"/>
        <v>0</v>
      </c>
      <c r="F28" s="1504" t="e">
        <f t="shared" ca="1" si="6"/>
        <v>#DIV/0!</v>
      </c>
      <c r="G28" s="1506"/>
    </row>
    <row r="29" spans="1:7" s="303" customFormat="1" ht="12" hidden="1">
      <c r="A29" s="1346" t="str">
        <f>IF(DevCosts!B28="","",DevCosts!B28)</f>
        <v/>
      </c>
      <c r="B29" s="1346" t="str">
        <f>IF(DevCosts!C28="","",DevCosts!C28)</f>
        <v>Site Preparation</v>
      </c>
      <c r="C29" s="1503">
        <f>IF(DevCosts!D28="","",DevCosts!D28)</f>
        <v>0</v>
      </c>
      <c r="D29" s="1504">
        <f t="shared" si="5"/>
        <v>0</v>
      </c>
      <c r="E29" s="1505">
        <f t="shared" si="1"/>
        <v>0</v>
      </c>
      <c r="F29" s="1504" t="e">
        <f t="shared" ca="1" si="6"/>
        <v>#DIV/0!</v>
      </c>
      <c r="G29" s="1506"/>
    </row>
    <row r="30" spans="1:7" s="303" customFormat="1" ht="12" hidden="1">
      <c r="A30" s="1346" t="str">
        <f>IF(DevCosts!B30="","",DevCosts!B30)</f>
        <v/>
      </c>
      <c r="B30" s="1346" t="str">
        <f>IF(DevCosts!C29="","",DevCosts!C29)</f>
        <v xml:space="preserve">Other Construction  </v>
      </c>
      <c r="C30" s="1503">
        <f>IF(DevCosts!D30="","",DevCosts!D30)</f>
        <v>0</v>
      </c>
      <c r="D30" s="1504">
        <v>0</v>
      </c>
      <c r="E30" s="1505">
        <f t="shared" si="1"/>
        <v>0</v>
      </c>
      <c r="F30" s="1504" t="e">
        <f t="shared" ca="1" si="6"/>
        <v>#DIV/0!</v>
      </c>
      <c r="G30" s="1506"/>
    </row>
    <row r="31" spans="1:7" s="303" customFormat="1" ht="12" hidden="1">
      <c r="A31" s="1346" t="str">
        <f>IF(DevCosts!B29="","",DevCosts!B29)</f>
        <v/>
      </c>
      <c r="B31" s="1346" t="str">
        <f>IF(DevCosts!C30="","",DevCosts!C30)</f>
        <v>Contingency</v>
      </c>
      <c r="C31" s="1503">
        <f>IF(DevCosts!D29="","",DevCosts!D29)</f>
        <v>0</v>
      </c>
      <c r="D31" s="1504">
        <f>C31</f>
        <v>0</v>
      </c>
      <c r="E31" s="1505">
        <f t="shared" si="1"/>
        <v>0</v>
      </c>
      <c r="F31" s="1504" t="e">
        <f t="shared" ca="1" si="6"/>
        <v>#DIV/0!</v>
      </c>
      <c r="G31" s="1506"/>
    </row>
    <row r="32" spans="1:7" s="568" customFormat="1" ht="12">
      <c r="A32" s="1507" t="str">
        <f>IF(DevCosts!B31="","",DevCosts!B31)</f>
        <v>Other Construction Subtotal</v>
      </c>
      <c r="B32" s="1507"/>
      <c r="C32" s="1508">
        <f>IF(DevCosts!D31="","",DevCosts!D31)</f>
        <v>0</v>
      </c>
      <c r="D32" s="1508">
        <f>SUM(D21:D31)</f>
        <v>0</v>
      </c>
      <c r="E32" s="1508">
        <f>SUM(E21:E31)</f>
        <v>0</v>
      </c>
      <c r="F32" s="1508" t="e">
        <f ca="1">SUM(F21:F31)</f>
        <v>#DIV/0!</v>
      </c>
      <c r="G32" s="1509"/>
    </row>
    <row r="33" spans="1:7" s="303" customFormat="1" ht="12" hidden="1">
      <c r="A33" s="1346" t="str">
        <f>IF(DevCosts!B32="","",DevCosts!B32)</f>
        <v/>
      </c>
      <c r="B33" s="1346" t="str">
        <f>IF(DevCosts!C32="","",DevCosts!C32)</f>
        <v>Streets</v>
      </c>
      <c r="C33" s="1503">
        <f>IF(DevCosts!D32="","",DevCosts!D32)</f>
        <v>0</v>
      </c>
      <c r="D33" s="1504">
        <v>0</v>
      </c>
      <c r="E33" s="1505">
        <f t="shared" si="1"/>
        <v>0</v>
      </c>
      <c r="F33" s="1504" t="e">
        <f t="shared" ref="F33:F39" ca="1" si="7">D33*$C$140/$D$131</f>
        <v>#DIV/0!</v>
      </c>
      <c r="G33" s="1506"/>
    </row>
    <row r="34" spans="1:7" s="303" customFormat="1" ht="12" hidden="1">
      <c r="A34" s="1346" t="str">
        <f>IF(DevCosts!B33="","",DevCosts!B33)</f>
        <v/>
      </c>
      <c r="B34" s="1346" t="str">
        <f>IF(DevCosts!C33="","",DevCosts!C33)</f>
        <v>Electrical &amp; Gas</v>
      </c>
      <c r="C34" s="1503">
        <f>IF(DevCosts!D33="","",DevCosts!D33)</f>
        <v>0</v>
      </c>
      <c r="D34" s="1504">
        <v>0</v>
      </c>
      <c r="E34" s="1505">
        <f t="shared" si="1"/>
        <v>0</v>
      </c>
      <c r="F34" s="1504" t="e">
        <f t="shared" ca="1" si="7"/>
        <v>#DIV/0!</v>
      </c>
      <c r="G34" s="1506"/>
    </row>
    <row r="35" spans="1:7" s="303" customFormat="1" ht="12" hidden="1">
      <c r="A35" s="1346" t="str">
        <f>IF(DevCosts!B34="","",DevCosts!B34)</f>
        <v/>
      </c>
      <c r="B35" s="1346" t="str">
        <f>IF(DevCosts!C34="","",DevCosts!C34)</f>
        <v>Sidewalk</v>
      </c>
      <c r="C35" s="1503">
        <f>IF(DevCosts!D34="","",DevCosts!D34)</f>
        <v>0</v>
      </c>
      <c r="D35" s="1504">
        <v>0</v>
      </c>
      <c r="E35" s="1505">
        <f t="shared" si="1"/>
        <v>0</v>
      </c>
      <c r="F35" s="1504" t="e">
        <f t="shared" ca="1" si="7"/>
        <v>#DIV/0!</v>
      </c>
      <c r="G35" s="1506"/>
    </row>
    <row r="36" spans="1:7" s="303" customFormat="1" ht="12" hidden="1">
      <c r="A36" s="1346" t="str">
        <f>IF(DevCosts!B35="","",DevCosts!B35)</f>
        <v/>
      </c>
      <c r="B36" s="1346" t="str">
        <f>IF(DevCosts!C35="","",DevCosts!C35)</f>
        <v>Public Parks &amp; Landscaping</v>
      </c>
      <c r="C36" s="1503">
        <f>IF(DevCosts!D35="","",DevCosts!D35)</f>
        <v>0</v>
      </c>
      <c r="D36" s="1504">
        <v>0</v>
      </c>
      <c r="E36" s="1505">
        <f t="shared" si="1"/>
        <v>0</v>
      </c>
      <c r="F36" s="1504" t="e">
        <f t="shared" ca="1" si="7"/>
        <v>#DIV/0!</v>
      </c>
      <c r="G36" s="1506"/>
    </row>
    <row r="37" spans="1:7" s="303" customFormat="1" ht="12" hidden="1">
      <c r="A37" s="1346" t="str">
        <f>IF(DevCosts!B36="","",DevCosts!B36)</f>
        <v/>
      </c>
      <c r="B37" s="1346" t="str">
        <f>IF(DevCosts!C36="","",DevCosts!C36)</f>
        <v>Sewer &amp; Water</v>
      </c>
      <c r="C37" s="1503">
        <f>IF(DevCosts!D36="","",DevCosts!D36)</f>
        <v>0</v>
      </c>
      <c r="D37" s="1504">
        <v>0</v>
      </c>
      <c r="E37" s="1505">
        <f t="shared" si="1"/>
        <v>0</v>
      </c>
      <c r="F37" s="1504" t="e">
        <f t="shared" ca="1" si="7"/>
        <v>#DIV/0!</v>
      </c>
      <c r="G37" s="1506"/>
    </row>
    <row r="38" spans="1:7" s="303" customFormat="1" ht="12" hidden="1">
      <c r="A38" s="1346" t="str">
        <f>IF(DevCosts!B38="","",DevCosts!B38)</f>
        <v/>
      </c>
      <c r="B38" s="1346" t="str">
        <f>IF(DevCosts!C37="","",DevCosts!C37)</f>
        <v>Other Infrastructure</v>
      </c>
      <c r="C38" s="1503">
        <f>IF(DevCosts!D38="","",DevCosts!D38)</f>
        <v>0</v>
      </c>
      <c r="D38" s="1504">
        <v>0</v>
      </c>
      <c r="E38" s="1505">
        <f t="shared" si="1"/>
        <v>0</v>
      </c>
      <c r="F38" s="1504" t="e">
        <f t="shared" ca="1" si="7"/>
        <v>#DIV/0!</v>
      </c>
      <c r="G38" s="1506"/>
    </row>
    <row r="39" spans="1:7" s="303" customFormat="1" ht="12" hidden="1">
      <c r="A39" s="1346" t="str">
        <f>IF(DevCosts!B37="","",DevCosts!B37)</f>
        <v/>
      </c>
      <c r="B39" s="1346" t="str">
        <f>IF(DevCosts!C38="","",DevCosts!C38)</f>
        <v>Contingency</v>
      </c>
      <c r="C39" s="1503">
        <f>IF(DevCosts!D37="","",DevCosts!D37)</f>
        <v>0</v>
      </c>
      <c r="D39" s="1504">
        <v>0</v>
      </c>
      <c r="E39" s="1505">
        <f t="shared" si="1"/>
        <v>0</v>
      </c>
      <c r="F39" s="1504" t="e">
        <f t="shared" ca="1" si="7"/>
        <v>#DIV/0!</v>
      </c>
      <c r="G39" s="1506"/>
    </row>
    <row r="40" spans="1:7" s="568" customFormat="1" ht="12">
      <c r="A40" s="1507" t="str">
        <f>IF(DevCosts!B39="","",DevCosts!B39)</f>
        <v>Infrastructure Subtotal</v>
      </c>
      <c r="B40" s="1507"/>
      <c r="C40" s="1508">
        <f>IF(DevCosts!D39="","",DevCosts!D39)</f>
        <v>0</v>
      </c>
      <c r="D40" s="1508">
        <f>SUM(D33:D39)</f>
        <v>0</v>
      </c>
      <c r="E40" s="1508">
        <f>SUM(E33:E39)</f>
        <v>0</v>
      </c>
      <c r="F40" s="1508" t="e">
        <f ca="1">SUM(F33:F39)</f>
        <v>#DIV/0!</v>
      </c>
      <c r="G40" s="1509"/>
    </row>
    <row r="41" spans="1:7" s="303" customFormat="1" ht="12" hidden="1">
      <c r="A41" s="1346" t="str">
        <f>IF(DevCosts!B40="","",DevCosts!B40)</f>
        <v/>
      </c>
      <c r="B41" s="1346" t="str">
        <f>IF(DevCosts!C40="","",DevCosts!C40)</f>
        <v>Underground Storage Tanks</v>
      </c>
      <c r="C41" s="1503">
        <f>IF(DevCosts!D40="","",DevCosts!D40)</f>
        <v>0</v>
      </c>
      <c r="D41" s="1504">
        <f t="shared" ref="D41:D47" si="8">C41</f>
        <v>0</v>
      </c>
      <c r="E41" s="1505">
        <f t="shared" si="1"/>
        <v>0</v>
      </c>
      <c r="F41" s="1504" t="e">
        <f t="shared" ref="F41:F47" ca="1" si="9">D41*$C$140/$D$131</f>
        <v>#DIV/0!</v>
      </c>
      <c r="G41" s="1506"/>
    </row>
    <row r="42" spans="1:7" s="303" customFormat="1" ht="12" hidden="1">
      <c r="A42" s="1346" t="str">
        <f>IF(DevCosts!B41="","",DevCosts!B41)</f>
        <v/>
      </c>
      <c r="B42" s="1346" t="str">
        <f>IF(DevCosts!C41="","",DevCosts!C41)</f>
        <v>Soil Testing</v>
      </c>
      <c r="C42" s="1503">
        <f>IF(DevCosts!D41="","",DevCosts!D41)</f>
        <v>0</v>
      </c>
      <c r="D42" s="1504">
        <f t="shared" si="8"/>
        <v>0</v>
      </c>
      <c r="E42" s="1505">
        <f t="shared" si="1"/>
        <v>0</v>
      </c>
      <c r="F42" s="1504" t="e">
        <f t="shared" ca="1" si="9"/>
        <v>#DIV/0!</v>
      </c>
      <c r="G42" s="1506"/>
    </row>
    <row r="43" spans="1:7" s="303" customFormat="1" ht="12" hidden="1">
      <c r="A43" s="1346" t="str">
        <f>IF(DevCosts!B42="","",DevCosts!B42)</f>
        <v/>
      </c>
      <c r="B43" s="1346" t="str">
        <f>IF(DevCosts!C42="","",DevCosts!C42)</f>
        <v>Land Remediation</v>
      </c>
      <c r="C43" s="1503">
        <f>IF(DevCosts!D42="","",DevCosts!D42)</f>
        <v>0</v>
      </c>
      <c r="D43" s="1504">
        <f t="shared" si="8"/>
        <v>0</v>
      </c>
      <c r="E43" s="1505">
        <f t="shared" si="1"/>
        <v>0</v>
      </c>
      <c r="F43" s="1504" t="e">
        <f t="shared" ca="1" si="9"/>
        <v>#DIV/0!</v>
      </c>
      <c r="G43" s="1506"/>
    </row>
    <row r="44" spans="1:7" s="303" customFormat="1" ht="12" hidden="1">
      <c r="A44" s="1346" t="str">
        <f>IF(DevCosts!B43="","",DevCosts!B43)</f>
        <v/>
      </c>
      <c r="B44" s="1346" t="str">
        <f>IF(DevCosts!C43="","",DevCosts!C43)</f>
        <v>Lead Based Paint Removal</v>
      </c>
      <c r="C44" s="1503">
        <f>IF(DevCosts!D43="","",DevCosts!D43)</f>
        <v>0</v>
      </c>
      <c r="D44" s="1504">
        <f t="shared" si="8"/>
        <v>0</v>
      </c>
      <c r="E44" s="1505">
        <f t="shared" si="1"/>
        <v>0</v>
      </c>
      <c r="F44" s="1504" t="e">
        <f t="shared" ca="1" si="9"/>
        <v>#DIV/0!</v>
      </c>
      <c r="G44" s="1506"/>
    </row>
    <row r="45" spans="1:7" s="303" customFormat="1" ht="12" hidden="1">
      <c r="A45" s="1346" t="str">
        <f>IF(DevCosts!B44="","",DevCosts!B44)</f>
        <v/>
      </c>
      <c r="B45" s="1346" t="str">
        <f>IF(DevCosts!C44="","",DevCosts!C44)</f>
        <v>Asbestos Removal</v>
      </c>
      <c r="C45" s="1503">
        <f>IF(DevCosts!D44="","",DevCosts!D44)</f>
        <v>0</v>
      </c>
      <c r="D45" s="1504">
        <f t="shared" si="8"/>
        <v>0</v>
      </c>
      <c r="E45" s="1505">
        <f t="shared" si="1"/>
        <v>0</v>
      </c>
      <c r="F45" s="1504" t="e">
        <f t="shared" ca="1" si="9"/>
        <v>#DIV/0!</v>
      </c>
      <c r="G45" s="1506"/>
    </row>
    <row r="46" spans="1:7" s="303" customFormat="1" ht="12" hidden="1">
      <c r="A46" s="1346" t="str">
        <f>IF(DevCosts!B46="","",DevCosts!B46)</f>
        <v/>
      </c>
      <c r="B46" s="1346" t="str">
        <f>IF(DevCosts!C45="","",DevCosts!C45)</f>
        <v>Other Environmental</v>
      </c>
      <c r="C46" s="1503">
        <f>IF(DevCosts!D46="","",DevCosts!D46)</f>
        <v>0</v>
      </c>
      <c r="D46" s="1504">
        <f t="shared" si="8"/>
        <v>0</v>
      </c>
      <c r="E46" s="1505">
        <f t="shared" si="1"/>
        <v>0</v>
      </c>
      <c r="F46" s="1504" t="e">
        <f t="shared" ca="1" si="9"/>
        <v>#DIV/0!</v>
      </c>
      <c r="G46" s="1506"/>
    </row>
    <row r="47" spans="1:7" s="303" customFormat="1" ht="12" hidden="1">
      <c r="A47" s="1346" t="str">
        <f>IF(DevCosts!B45="","",DevCosts!B45)</f>
        <v/>
      </c>
      <c r="B47" s="1346" t="str">
        <f>IF(DevCosts!C46="","",DevCosts!C46)</f>
        <v>Contingency</v>
      </c>
      <c r="C47" s="1503">
        <f>IF(DevCosts!D45="","",DevCosts!D45)</f>
        <v>0</v>
      </c>
      <c r="D47" s="1504">
        <f t="shared" si="8"/>
        <v>0</v>
      </c>
      <c r="E47" s="1505">
        <f t="shared" si="1"/>
        <v>0</v>
      </c>
      <c r="F47" s="1504" t="e">
        <f t="shared" ca="1" si="9"/>
        <v>#DIV/0!</v>
      </c>
      <c r="G47" s="1506"/>
    </row>
    <row r="48" spans="1:7" s="568" customFormat="1" ht="12">
      <c r="A48" s="1507" t="str">
        <f>IF(DevCosts!B47="","",DevCosts!B47)</f>
        <v>Environmental Subtotal</v>
      </c>
      <c r="B48" s="1507"/>
      <c r="C48" s="1508">
        <f>IF(DevCosts!D47="","",DevCosts!D47)</f>
        <v>0</v>
      </c>
      <c r="D48" s="1508">
        <f>SUM(D41:D47)</f>
        <v>0</v>
      </c>
      <c r="E48" s="1508">
        <f>SUM(E41:E47)</f>
        <v>0</v>
      </c>
      <c r="F48" s="1508" t="e">
        <f ca="1">SUM(F41:F47)</f>
        <v>#DIV/0!</v>
      </c>
      <c r="G48" s="1509"/>
    </row>
    <row r="49" spans="1:7" s="303" customFormat="1" ht="12" hidden="1">
      <c r="A49" s="1346" t="str">
        <f>IF(DevCosts!B48="","",DevCosts!B48)</f>
        <v/>
      </c>
      <c r="B49" s="1346" t="str">
        <f>IF(DevCosts!C48="","",DevCosts!C48)</f>
        <v>Construction</v>
      </c>
      <c r="C49" s="1503">
        <f>IF(DevCosts!D48="","",DevCosts!D48)</f>
        <v>0</v>
      </c>
      <c r="D49" s="1504">
        <v>0</v>
      </c>
      <c r="E49" s="1505">
        <f t="shared" si="1"/>
        <v>0</v>
      </c>
      <c r="F49" s="1504" t="e">
        <f t="shared" ref="F49:F55" ca="1" si="10">D49*$C$140/$D$131</f>
        <v>#DIV/0!</v>
      </c>
      <c r="G49" s="1506"/>
    </row>
    <row r="50" spans="1:7" s="303" customFormat="1" ht="12" hidden="1">
      <c r="A50" s="1346" t="str">
        <f>IF(DevCosts!B57="","",DevCosts!B57)</f>
        <v/>
      </c>
      <c r="B50" s="1346" t="str">
        <f>IF(DevCosts!C57="","",DevCosts!C57)</f>
        <v>Contingency</v>
      </c>
      <c r="C50" s="1503">
        <f>IF(DevCosts!D57="","",DevCosts!D57)</f>
        <v>0</v>
      </c>
      <c r="D50" s="1504">
        <v>0</v>
      </c>
      <c r="E50" s="1505">
        <f t="shared" si="1"/>
        <v>0</v>
      </c>
      <c r="F50" s="1504" t="e">
        <f t="shared" ca="1" si="10"/>
        <v>#DIV/0!</v>
      </c>
      <c r="G50" s="1506"/>
    </row>
    <row r="51" spans="1:7" s="303" customFormat="1" ht="12" hidden="1">
      <c r="A51" s="1346" t="str">
        <f>IF(DevCosts!B49="","",DevCosts!B49)</f>
        <v/>
      </c>
      <c r="B51" s="1346" t="str">
        <f>IF(DevCosts!C49="","",DevCosts!C49)</f>
        <v>Legal</v>
      </c>
      <c r="C51" s="1503">
        <f>IF(DevCosts!D49="","",DevCosts!D49)</f>
        <v>0</v>
      </c>
      <c r="D51" s="1504">
        <v>0</v>
      </c>
      <c r="E51" s="1505">
        <f t="shared" si="1"/>
        <v>0</v>
      </c>
      <c r="F51" s="1504" t="e">
        <f t="shared" ca="1" si="10"/>
        <v>#DIV/0!</v>
      </c>
      <c r="G51" s="1506"/>
    </row>
    <row r="52" spans="1:7" s="303" customFormat="1" ht="12" hidden="1">
      <c r="A52" s="1346" t="str">
        <f>IF(DevCosts!B50="","",DevCosts!B50)</f>
        <v/>
      </c>
      <c r="B52" s="1346" t="str">
        <f>IF(DevCosts!C50="","",DevCosts!C50)</f>
        <v>Accounting</v>
      </c>
      <c r="C52" s="1503">
        <f>IF(DevCosts!D50="","",DevCosts!D50)</f>
        <v>0</v>
      </c>
      <c r="D52" s="1504">
        <v>0</v>
      </c>
      <c r="E52" s="1505">
        <f t="shared" si="1"/>
        <v>0</v>
      </c>
      <c r="F52" s="1504" t="e">
        <f t="shared" ca="1" si="10"/>
        <v>#DIV/0!</v>
      </c>
      <c r="G52" s="1506"/>
    </row>
    <row r="53" spans="1:7" s="303" customFormat="1" ht="12" hidden="1">
      <c r="A53" s="1346" t="str">
        <f>IF(DevCosts!B51="","",DevCosts!B51)</f>
        <v/>
      </c>
      <c r="B53" s="1346" t="str">
        <f>IF(DevCosts!C51="","",DevCosts!C51)</f>
        <v>Reserves</v>
      </c>
      <c r="C53" s="1503">
        <f>IF(DevCosts!D51="","",DevCosts!D51)</f>
        <v>0</v>
      </c>
      <c r="D53" s="1504">
        <v>0</v>
      </c>
      <c r="E53" s="1505">
        <f t="shared" si="1"/>
        <v>0</v>
      </c>
      <c r="F53" s="1504" t="e">
        <f t="shared" ca="1" si="10"/>
        <v>#DIV/0!</v>
      </c>
      <c r="G53" s="1506"/>
    </row>
    <row r="54" spans="1:7" s="303" customFormat="1" ht="12" hidden="1">
      <c r="A54" s="1346" t="str">
        <f>IF(DevCosts!B52="","",DevCosts!B52)</f>
        <v/>
      </c>
      <c r="B54" s="1346" t="str">
        <f>IF(DevCosts!C52="","",DevCosts!C52)</f>
        <v>Consultants</v>
      </c>
      <c r="C54" s="1503">
        <f>IF(DevCosts!D52="","",DevCosts!D52)</f>
        <v>0</v>
      </c>
      <c r="D54" s="1504">
        <v>0</v>
      </c>
      <c r="E54" s="1505">
        <f t="shared" si="1"/>
        <v>0</v>
      </c>
      <c r="F54" s="1504" t="e">
        <f t="shared" ca="1" si="10"/>
        <v>#DIV/0!</v>
      </c>
      <c r="G54" s="1506"/>
    </row>
    <row r="55" spans="1:7" s="303" customFormat="1" ht="12" hidden="1">
      <c r="A55" s="1346" t="str">
        <f>IF(DevCosts!B53="","",DevCosts!B53)</f>
        <v/>
      </c>
      <c r="B55" s="1346" t="str">
        <f>IF(DevCosts!C53="","",DevCosts!C53)</f>
        <v>Other Commercial</v>
      </c>
      <c r="C55" s="1503">
        <f>IF(DevCosts!D53="","",DevCosts!D53)</f>
        <v>0</v>
      </c>
      <c r="D55" s="1504">
        <v>0</v>
      </c>
      <c r="E55" s="1505">
        <f t="shared" si="1"/>
        <v>0</v>
      </c>
      <c r="F55" s="1504" t="e">
        <f t="shared" ca="1" si="10"/>
        <v>#DIV/0!</v>
      </c>
      <c r="G55" s="1506"/>
    </row>
    <row r="56" spans="1:7" s="568" customFormat="1" ht="12">
      <c r="A56" s="1507" t="str">
        <f>IF(DevCosts!B58="","",DevCosts!B58)</f>
        <v>Commercial Subtotal</v>
      </c>
      <c r="B56" s="1507"/>
      <c r="C56" s="1510">
        <f>IF(DevCosts!D58="","",DevCosts!D58)</f>
        <v>0</v>
      </c>
      <c r="D56" s="1508">
        <f>SUM(D49:D55)</f>
        <v>0</v>
      </c>
      <c r="E56" s="1508">
        <f>SUM(E49:E55)</f>
        <v>0</v>
      </c>
      <c r="F56" s="1508" t="e">
        <f ca="1">SUM(F49:F55)</f>
        <v>#DIV/0!</v>
      </c>
      <c r="G56" s="1509"/>
    </row>
    <row r="57" spans="1:7" s="303" customFormat="1" ht="12" hidden="1">
      <c r="A57" s="1346" t="str">
        <f>IF(DevCosts!B59="","",DevCosts!B59)</f>
        <v/>
      </c>
      <c r="B57" s="1346" t="str">
        <f>IF(DevCosts!C59="","",DevCosts!C59)</f>
        <v>Architect - Design</v>
      </c>
      <c r="C57" s="1503">
        <f>IF(DevCosts!D59="","",DevCosts!D59)</f>
        <v>0</v>
      </c>
      <c r="D57" s="1504">
        <f t="shared" ref="D57:D68" si="11">C57</f>
        <v>0</v>
      </c>
      <c r="E57" s="1505">
        <f t="shared" si="1"/>
        <v>0</v>
      </c>
      <c r="F57" s="1504" t="e">
        <f t="shared" ref="F57:F77" ca="1" si="12">D57*$C$140/$D$131</f>
        <v>#DIV/0!</v>
      </c>
      <c r="G57" s="1506"/>
    </row>
    <row r="58" spans="1:7" s="303" customFormat="1" ht="12" hidden="1">
      <c r="A58" s="1346" t="str">
        <f>IF(DevCosts!B60="","",DevCosts!B60)</f>
        <v/>
      </c>
      <c r="B58" s="1346" t="str">
        <f>IF(DevCosts!C60="","",DevCosts!C60)</f>
        <v>Architect - Supervision</v>
      </c>
      <c r="C58" s="1503">
        <f>IF(DevCosts!D60="","",DevCosts!D60)</f>
        <v>0</v>
      </c>
      <c r="D58" s="1504">
        <f t="shared" si="11"/>
        <v>0</v>
      </c>
      <c r="E58" s="1505">
        <f t="shared" si="1"/>
        <v>0</v>
      </c>
      <c r="F58" s="1504" t="e">
        <f t="shared" ca="1" si="12"/>
        <v>#DIV/0!</v>
      </c>
      <c r="G58" s="1506"/>
    </row>
    <row r="59" spans="1:7" s="303" customFormat="1" ht="12" hidden="1">
      <c r="A59" s="1346" t="str">
        <f>IF(DevCosts!B61="","",DevCosts!B61)</f>
        <v/>
      </c>
      <c r="B59" s="1346" t="str">
        <f>IF(DevCosts!C61="","",DevCosts!C61)</f>
        <v>Engineering Fees</v>
      </c>
      <c r="C59" s="1503">
        <f>IF(DevCosts!D61="","",DevCosts!D61)</f>
        <v>0</v>
      </c>
      <c r="D59" s="1504">
        <f t="shared" si="11"/>
        <v>0</v>
      </c>
      <c r="E59" s="1505">
        <f t="shared" si="1"/>
        <v>0</v>
      </c>
      <c r="F59" s="1504" t="e">
        <f t="shared" ca="1" si="12"/>
        <v>#DIV/0!</v>
      </c>
      <c r="G59" s="1506"/>
    </row>
    <row r="60" spans="1:7" s="303" customFormat="1" ht="12" hidden="1">
      <c r="A60" s="1346" t="str">
        <f>IF(DevCosts!B62="","",DevCosts!B62)</f>
        <v/>
      </c>
      <c r="B60" s="1346" t="str">
        <f>IF(DevCosts!C62="","",DevCosts!C62)</f>
        <v>Blueprints &amp; Reproductions</v>
      </c>
      <c r="C60" s="1503">
        <f>IF(DevCosts!D62="","",DevCosts!D62)</f>
        <v>0</v>
      </c>
      <c r="D60" s="1504">
        <f t="shared" si="11"/>
        <v>0</v>
      </c>
      <c r="E60" s="1505">
        <f t="shared" si="1"/>
        <v>0</v>
      </c>
      <c r="F60" s="1504" t="e">
        <f t="shared" ca="1" si="12"/>
        <v>#DIV/0!</v>
      </c>
      <c r="G60" s="1506"/>
    </row>
    <row r="61" spans="1:7" s="303" customFormat="1" ht="12" hidden="1">
      <c r="A61" s="1346" t="str">
        <f>IF(DevCosts!B63="","",DevCosts!B63)</f>
        <v/>
      </c>
      <c r="B61" s="1346" t="str">
        <f>IF(DevCosts!C63="","",DevCosts!C63)</f>
        <v>PNA Report</v>
      </c>
      <c r="C61" s="1503">
        <f>IF(DevCosts!D63="","",DevCosts!D63)</f>
        <v>0</v>
      </c>
      <c r="D61" s="1504">
        <f t="shared" si="11"/>
        <v>0</v>
      </c>
      <c r="E61" s="1505">
        <f t="shared" si="1"/>
        <v>0</v>
      </c>
      <c r="F61" s="1504" t="e">
        <f t="shared" ca="1" si="12"/>
        <v>#DIV/0!</v>
      </c>
      <c r="G61" s="1506"/>
    </row>
    <row r="62" spans="1:7" s="303" customFormat="1" ht="12" hidden="1">
      <c r="A62" s="1346" t="str">
        <f>IF(DevCosts!B64="","",DevCosts!B64)</f>
        <v/>
      </c>
      <c r="B62" s="1346" t="str">
        <f>IF(DevCosts!C64="","",DevCosts!C64)</f>
        <v>Permit Expediter</v>
      </c>
      <c r="C62" s="1503">
        <f>IF(DevCosts!D64="","",DevCosts!D64)</f>
        <v>0</v>
      </c>
      <c r="D62" s="1504">
        <f t="shared" si="11"/>
        <v>0</v>
      </c>
      <c r="E62" s="1505">
        <f t="shared" si="1"/>
        <v>0</v>
      </c>
      <c r="F62" s="1504" t="e">
        <f t="shared" ca="1" si="12"/>
        <v>#DIV/0!</v>
      </c>
      <c r="G62" s="1506"/>
    </row>
    <row r="63" spans="1:7" s="303" customFormat="1" ht="12" hidden="1">
      <c r="A63" s="1346" t="str">
        <f>IF(DevCosts!B65="","",DevCosts!B65)</f>
        <v/>
      </c>
      <c r="B63" s="1346" t="str">
        <f>IF(DevCosts!C65="","",DevCosts!C65)</f>
        <v>As-Is Plats &amp; Surveys</v>
      </c>
      <c r="C63" s="1503">
        <f>IF(DevCosts!D65="","",DevCosts!D65)</f>
        <v>0</v>
      </c>
      <c r="D63" s="1504">
        <f t="shared" si="11"/>
        <v>0</v>
      </c>
      <c r="E63" s="1505">
        <f t="shared" si="1"/>
        <v>0</v>
      </c>
      <c r="F63" s="1504" t="e">
        <f t="shared" ca="1" si="12"/>
        <v>#DIV/0!</v>
      </c>
      <c r="G63" s="1506"/>
    </row>
    <row r="64" spans="1:7" s="303" customFormat="1" ht="12" hidden="1">
      <c r="A64" s="1346" t="str">
        <f>IF(DevCosts!B66="","",DevCosts!B66)</f>
        <v/>
      </c>
      <c r="B64" s="1346" t="str">
        <f>IF(DevCosts!C66="","",DevCosts!C66)</f>
        <v>Accountant - Tax Preparation</v>
      </c>
      <c r="C64" s="1503">
        <f>IF(DevCosts!D66="","",DevCosts!D66)</f>
        <v>0</v>
      </c>
      <c r="D64" s="1504">
        <f t="shared" si="11"/>
        <v>0</v>
      </c>
      <c r="E64" s="1505">
        <f t="shared" si="1"/>
        <v>0</v>
      </c>
      <c r="F64" s="1504" t="e">
        <f t="shared" ca="1" si="12"/>
        <v>#DIV/0!</v>
      </c>
      <c r="G64" s="1506"/>
    </row>
    <row r="65" spans="1:7" s="303" customFormat="1" ht="12" hidden="1">
      <c r="A65" s="1346" t="str">
        <f>IF(DevCosts!B67="","",DevCosts!B67)</f>
        <v/>
      </c>
      <c r="B65" s="1346" t="str">
        <f>IF(DevCosts!C67="","",DevCosts!C67)</f>
        <v>Accountant -- 8609s</v>
      </c>
      <c r="C65" s="1503">
        <f>IF(DevCosts!D67="","",DevCosts!D67)</f>
        <v>0</v>
      </c>
      <c r="D65" s="1504">
        <f t="shared" si="11"/>
        <v>0</v>
      </c>
      <c r="E65" s="1505">
        <f t="shared" si="1"/>
        <v>0</v>
      </c>
      <c r="F65" s="1504" t="e">
        <f t="shared" ca="1" si="12"/>
        <v>#DIV/0!</v>
      </c>
      <c r="G65" s="1506"/>
    </row>
    <row r="66" spans="1:7" s="303" customFormat="1" ht="12" hidden="1">
      <c r="A66" s="1346" t="str">
        <f>IF(DevCosts!B68="","",DevCosts!B68)</f>
        <v/>
      </c>
      <c r="B66" s="1346" t="str">
        <f>IF(DevCosts!C68="","",DevCosts!C68)</f>
        <v>Accountant -- General</v>
      </c>
      <c r="C66" s="1503">
        <f>IF(DevCosts!D68="","",DevCosts!D68)</f>
        <v>0</v>
      </c>
      <c r="D66" s="1504">
        <f t="shared" si="11"/>
        <v>0</v>
      </c>
      <c r="E66" s="1505">
        <f t="shared" si="1"/>
        <v>0</v>
      </c>
      <c r="F66" s="1504" t="e">
        <f t="shared" ca="1" si="12"/>
        <v>#DIV/0!</v>
      </c>
      <c r="G66" s="1506"/>
    </row>
    <row r="67" spans="1:7" s="303" customFormat="1" ht="12" hidden="1">
      <c r="A67" s="1346" t="str">
        <f>IF(DevCosts!B69="","",DevCosts!B69)</f>
        <v/>
      </c>
      <c r="B67" s="1346" t="str">
        <f>IF(DevCosts!C69="","",DevCosts!C69)</f>
        <v>Legal - Organizational</v>
      </c>
      <c r="C67" s="1503">
        <f>IF(DevCosts!D69="","",DevCosts!D69)</f>
        <v>0</v>
      </c>
      <c r="D67" s="1504">
        <f t="shared" si="11"/>
        <v>0</v>
      </c>
      <c r="E67" s="1505">
        <f t="shared" si="1"/>
        <v>0</v>
      </c>
      <c r="F67" s="1504" t="e">
        <f t="shared" ca="1" si="12"/>
        <v>#DIV/0!</v>
      </c>
      <c r="G67" s="1506"/>
    </row>
    <row r="68" spans="1:7" s="303" customFormat="1" ht="12" hidden="1">
      <c r="A68" s="1346" t="str">
        <f>IF(DevCosts!B70="","",DevCosts!B70)</f>
        <v/>
      </c>
      <c r="B68" s="1346" t="str">
        <f>IF(DevCosts!C70="","",DevCosts!C70)</f>
        <v>Legal - Syndication</v>
      </c>
      <c r="C68" s="1503">
        <f>IF(DevCosts!D70="","",DevCosts!D70)</f>
        <v>0</v>
      </c>
      <c r="D68" s="1504">
        <f t="shared" si="11"/>
        <v>0</v>
      </c>
      <c r="E68" s="1505">
        <f t="shared" si="1"/>
        <v>0</v>
      </c>
      <c r="F68" s="1504" t="e">
        <f t="shared" ca="1" si="12"/>
        <v>#DIV/0!</v>
      </c>
      <c r="G68" s="1506"/>
    </row>
    <row r="69" spans="1:7" s="303" customFormat="1" ht="12" hidden="1">
      <c r="A69" s="1346" t="str">
        <f>IF(DevCosts!B71="","",DevCosts!B71)</f>
        <v/>
      </c>
      <c r="B69" s="1346" t="str">
        <f>IF(DevCosts!C71="","",DevCosts!C71)</f>
        <v>Consultant - Historic</v>
      </c>
      <c r="C69" s="1503">
        <f>IF(DevCosts!D71="","",DevCosts!D71)</f>
        <v>0</v>
      </c>
      <c r="D69" s="1504">
        <v>0</v>
      </c>
      <c r="E69" s="1505">
        <f t="shared" ref="E69:E129" si="13">C69-D69</f>
        <v>0</v>
      </c>
      <c r="F69" s="1504" t="e">
        <f t="shared" ca="1" si="12"/>
        <v>#DIV/0!</v>
      </c>
      <c r="G69" s="1506"/>
    </row>
    <row r="70" spans="1:7" s="303" customFormat="1" ht="12" hidden="1">
      <c r="A70" s="1346" t="str">
        <f>IF(DevCosts!B72="","",DevCosts!B72)</f>
        <v/>
      </c>
      <c r="B70" s="1346" t="str">
        <f>IF(DevCosts!C72="","",DevCosts!C72)</f>
        <v>Consultant - Financial</v>
      </c>
      <c r="C70" s="1503">
        <f>IF(DevCosts!D72="","",DevCosts!D72)</f>
        <v>0</v>
      </c>
      <c r="D70" s="1504">
        <v>0</v>
      </c>
      <c r="E70" s="1505">
        <f t="shared" si="13"/>
        <v>0</v>
      </c>
      <c r="F70" s="1504" t="e">
        <f t="shared" ca="1" si="12"/>
        <v>#DIV/0!</v>
      </c>
      <c r="G70" s="1506"/>
    </row>
    <row r="71" spans="1:7" s="303" customFormat="1" ht="12" hidden="1">
      <c r="A71" s="1346" t="str">
        <f>IF(DevCosts!B73="","",DevCosts!B73)</f>
        <v/>
      </c>
      <c r="B71" s="1346" t="str">
        <f>IF(DevCosts!C73="","",DevCosts!C73)</f>
        <v>Consultant - TIF</v>
      </c>
      <c r="C71" s="1503">
        <f>IF(DevCosts!D73="","",DevCosts!D73)</f>
        <v>0</v>
      </c>
      <c r="D71" s="1504">
        <v>0</v>
      </c>
      <c r="E71" s="1505">
        <f t="shared" si="13"/>
        <v>0</v>
      </c>
      <c r="F71" s="1504" t="e">
        <f t="shared" ca="1" si="12"/>
        <v>#DIV/0!</v>
      </c>
      <c r="G71" s="1506"/>
    </row>
    <row r="72" spans="1:7" s="303" customFormat="1" ht="12" hidden="1">
      <c r="A72" s="1346" t="str">
        <f>IF(DevCosts!B74="","",DevCosts!B74)</f>
        <v/>
      </c>
      <c r="B72" s="1346" t="str">
        <f>IF(DevCosts!C74="","",DevCosts!C74)</f>
        <v>Appraisal</v>
      </c>
      <c r="C72" s="1503">
        <f>IF(DevCosts!D74="","",DevCosts!D74)</f>
        <v>0</v>
      </c>
      <c r="D72" s="1504">
        <f>C72</f>
        <v>0</v>
      </c>
      <c r="E72" s="1505">
        <f t="shared" si="13"/>
        <v>0</v>
      </c>
      <c r="F72" s="1504" t="e">
        <f t="shared" ca="1" si="12"/>
        <v>#DIV/0!</v>
      </c>
      <c r="G72" s="1506"/>
    </row>
    <row r="73" spans="1:7" s="303" customFormat="1" ht="12" hidden="1">
      <c r="A73" s="1346" t="str">
        <f>IF(DevCosts!B75="","",DevCosts!B75)</f>
        <v/>
      </c>
      <c r="B73" s="1346" t="str">
        <f>IF(DevCosts!C75="","",DevCosts!C75)</f>
        <v>Market Study</v>
      </c>
      <c r="C73" s="1503">
        <f>IF(DevCosts!D75="","",DevCosts!D75)</f>
        <v>0</v>
      </c>
      <c r="D73" s="1504">
        <f>C73</f>
        <v>0</v>
      </c>
      <c r="E73" s="1505">
        <f t="shared" si="13"/>
        <v>0</v>
      </c>
      <c r="F73" s="1504" t="e">
        <f t="shared" ca="1" si="12"/>
        <v>#DIV/0!</v>
      </c>
      <c r="G73" s="1506"/>
    </row>
    <row r="74" spans="1:7" s="303" customFormat="1" ht="12" hidden="1">
      <c r="A74" s="1346" t="str">
        <f>IF(DevCosts!B76="","",DevCosts!B76)</f>
        <v/>
      </c>
      <c r="B74" s="1346" t="str">
        <f>IF(DevCosts!C76="","",DevCosts!C76)</f>
        <v>Phase I Environ. Report</v>
      </c>
      <c r="C74" s="1503">
        <f>IF(DevCosts!D76="","",DevCosts!D76)</f>
        <v>0</v>
      </c>
      <c r="D74" s="1504">
        <f>C74</f>
        <v>0</v>
      </c>
      <c r="E74" s="1505">
        <f t="shared" si="13"/>
        <v>0</v>
      </c>
      <c r="F74" s="1504" t="e">
        <f t="shared" ca="1" si="12"/>
        <v>#DIV/0!</v>
      </c>
      <c r="G74" s="1506"/>
    </row>
    <row r="75" spans="1:7" s="303" customFormat="1" ht="12" hidden="1">
      <c r="A75" s="1346" t="str">
        <f>IF(DevCosts!B77="","",DevCosts!B77)</f>
        <v/>
      </c>
      <c r="B75" s="1346" t="str">
        <f>IF(DevCosts!C77="","",DevCosts!C77)</f>
        <v>Phase II Environ. Report</v>
      </c>
      <c r="C75" s="1503">
        <f>IF(DevCosts!D77="","",DevCosts!D77)</f>
        <v>0</v>
      </c>
      <c r="D75" s="1504">
        <f>C75</f>
        <v>0</v>
      </c>
      <c r="E75" s="1505">
        <f t="shared" si="13"/>
        <v>0</v>
      </c>
      <c r="F75" s="1504" t="e">
        <f t="shared" ca="1" si="12"/>
        <v>#DIV/0!</v>
      </c>
      <c r="G75" s="1506"/>
    </row>
    <row r="76" spans="1:7" s="303" customFormat="1" ht="12" hidden="1">
      <c r="A76" s="1346" t="str">
        <f>IF(DevCosts!B78="","",DevCosts!B78)</f>
        <v/>
      </c>
      <c r="B76" s="1346" t="str">
        <f>IF(DevCosts!C78="","",DevCosts!C78)</f>
        <v>Title &amp; Recording Fees</v>
      </c>
      <c r="C76" s="1503">
        <f>IF(DevCosts!D78="","",DevCosts!D78)</f>
        <v>0</v>
      </c>
      <c r="D76" s="1504">
        <f>C76</f>
        <v>0</v>
      </c>
      <c r="E76" s="1505">
        <f t="shared" si="13"/>
        <v>0</v>
      </c>
      <c r="F76" s="1504" t="e">
        <f t="shared" ca="1" si="12"/>
        <v>#DIV/0!</v>
      </c>
      <c r="G76" s="1506"/>
    </row>
    <row r="77" spans="1:7" s="303" customFormat="1" ht="12" hidden="1">
      <c r="A77" s="1346" t="str">
        <f>IF(DevCosts!B79="","",DevCosts!B79)</f>
        <v/>
      </c>
      <c r="B77" s="1346" t="str">
        <f>IF(DevCosts!C79="","",DevCosts!C79)</f>
        <v>Other Professional Fees</v>
      </c>
      <c r="C77" s="1503">
        <f>IF(DevCosts!D79="","",DevCosts!D79)</f>
        <v>0</v>
      </c>
      <c r="D77" s="1504">
        <v>0</v>
      </c>
      <c r="E77" s="1505">
        <f t="shared" si="13"/>
        <v>0</v>
      </c>
      <c r="F77" s="1504" t="e">
        <f t="shared" ca="1" si="12"/>
        <v>#DIV/0!</v>
      </c>
      <c r="G77" s="1506"/>
    </row>
    <row r="78" spans="1:7" s="568" customFormat="1" ht="12">
      <c r="A78" s="1507" t="str">
        <f>IF(DevCosts!B80="","",DevCosts!B80)</f>
        <v>Professional Fees Subtotal</v>
      </c>
      <c r="B78" s="1507"/>
      <c r="C78" s="1510">
        <f>IF(DevCosts!D80="","",DevCosts!D80)</f>
        <v>0</v>
      </c>
      <c r="D78" s="1508">
        <f>SUM(D57:D77)</f>
        <v>0</v>
      </c>
      <c r="E78" s="1508">
        <f>SUM(E57:E77)</f>
        <v>0</v>
      </c>
      <c r="F78" s="1508" t="e">
        <f ca="1">SUM(F57:F77)</f>
        <v>#DIV/0!</v>
      </c>
      <c r="G78" s="1509"/>
    </row>
    <row r="79" spans="1:7" s="303" customFormat="1" ht="12" hidden="1">
      <c r="A79" s="1346" t="str">
        <f>IF(DevCosts!B81="","",DevCosts!B81)</f>
        <v/>
      </c>
      <c r="B79" s="1346" t="str">
        <f>IF(DevCosts!C81="","",DevCosts!C81)</f>
        <v>Tax Credit Issuer Fees</v>
      </c>
      <c r="C79" s="1503">
        <f>IF(DevCosts!D81="","",DevCosts!D81)</f>
        <v>0</v>
      </c>
      <c r="D79" s="1504">
        <v>0</v>
      </c>
      <c r="E79" s="1505">
        <f t="shared" si="13"/>
        <v>0</v>
      </c>
      <c r="F79" s="1504" t="e">
        <f t="shared" ref="F79:F94" ca="1" si="14">D79*$C$140/$D$131</f>
        <v>#DIV/0!</v>
      </c>
      <c r="G79" s="1506"/>
    </row>
    <row r="80" spans="1:7" s="303" customFormat="1" ht="12" hidden="1">
      <c r="A80" s="1346" t="str">
        <f>IF(DevCosts!B82="","",DevCosts!B82)</f>
        <v/>
      </c>
      <c r="B80" s="1346" t="str">
        <f>IF(DevCosts!C82="","",DevCosts!C82)</f>
        <v>Application Fees</v>
      </c>
      <c r="C80" s="1503">
        <f>IF(DevCosts!D82="","",DevCosts!D82)</f>
        <v>0</v>
      </c>
      <c r="D80" s="1504">
        <f>C80</f>
        <v>0</v>
      </c>
      <c r="E80" s="1505">
        <f t="shared" si="13"/>
        <v>0</v>
      </c>
      <c r="F80" s="1504" t="e">
        <f t="shared" ca="1" si="14"/>
        <v>#DIV/0!</v>
      </c>
      <c r="G80" s="1506"/>
    </row>
    <row r="81" spans="1:7" s="303" customFormat="1" ht="12" hidden="1">
      <c r="A81" s="1346" t="str">
        <f>IF(DevCosts!B83="","",DevCosts!B83)</f>
        <v/>
      </c>
      <c r="B81" s="1346" t="str">
        <f>IF(DevCosts!C83="","",DevCosts!C83)</f>
        <v>Construction Points</v>
      </c>
      <c r="C81" s="1503">
        <f>IF(DevCosts!D83="","",DevCosts!D83)</f>
        <v>0</v>
      </c>
      <c r="D81" s="1504">
        <f>C81</f>
        <v>0</v>
      </c>
      <c r="E81" s="1505">
        <f t="shared" si="13"/>
        <v>0</v>
      </c>
      <c r="F81" s="1504" t="e">
        <f t="shared" ca="1" si="14"/>
        <v>#DIV/0!</v>
      </c>
      <c r="G81" s="1506"/>
    </row>
    <row r="82" spans="1:7" s="303" customFormat="1" ht="12" hidden="1">
      <c r="A82" s="1346" t="str">
        <f>IF(DevCosts!B84="","",DevCosts!B84)</f>
        <v/>
      </c>
      <c r="B82" s="1346" t="str">
        <f>IF(DevCosts!C84="","",DevCosts!C84)</f>
        <v>Perm Loan Points</v>
      </c>
      <c r="C82" s="1503">
        <f>IF(DevCosts!D84="","",DevCosts!D84)</f>
        <v>0</v>
      </c>
      <c r="D82" s="1504">
        <f>C82</f>
        <v>0</v>
      </c>
      <c r="E82" s="1505">
        <f t="shared" si="13"/>
        <v>0</v>
      </c>
      <c r="F82" s="1504" t="e">
        <f t="shared" ca="1" si="14"/>
        <v>#DIV/0!</v>
      </c>
      <c r="G82" s="1506"/>
    </row>
    <row r="83" spans="1:7" s="303" customFormat="1" ht="12" hidden="1">
      <c r="A83" s="1346" t="str">
        <f>IF(DevCosts!B85="","",DevCosts!B85)</f>
        <v/>
      </c>
      <c r="B83" s="1346" t="str">
        <f>IF(DevCosts!C85="","",DevCosts!C85)</f>
        <v>Construction Inspection</v>
      </c>
      <c r="C83" s="1503">
        <f>IF(DevCosts!D85="","",DevCosts!D85)</f>
        <v>0</v>
      </c>
      <c r="D83" s="1504">
        <f>C83</f>
        <v>0</v>
      </c>
      <c r="E83" s="1505">
        <f t="shared" si="13"/>
        <v>0</v>
      </c>
      <c r="F83" s="1504" t="e">
        <f t="shared" ca="1" si="14"/>
        <v>#DIV/0!</v>
      </c>
      <c r="G83" s="1506"/>
    </row>
    <row r="84" spans="1:7" s="303" customFormat="1" ht="12" hidden="1">
      <c r="A84" s="1346" t="str">
        <f>IF(DevCosts!B86="","",DevCosts!B86)</f>
        <v/>
      </c>
      <c r="B84" s="1346" t="str">
        <f>IF(DevCosts!C86="","",DevCosts!C86)</f>
        <v>Architect Fee</v>
      </c>
      <c r="C84" s="1503">
        <f>IF(DevCosts!D86="","",DevCosts!D86)</f>
        <v>0</v>
      </c>
      <c r="D84" s="1504">
        <f>C84</f>
        <v>0</v>
      </c>
      <c r="E84" s="1505">
        <f t="shared" si="13"/>
        <v>0</v>
      </c>
      <c r="F84" s="1504" t="e">
        <f t="shared" ca="1" si="14"/>
        <v>#DIV/0!</v>
      </c>
      <c r="G84" s="1506"/>
    </row>
    <row r="85" spans="1:7" s="303" customFormat="1" ht="12" hidden="1">
      <c r="A85" s="1346" t="str">
        <f>IF(DevCosts!B87="","",DevCosts!B87)</f>
        <v/>
      </c>
      <c r="B85" s="1346" t="str">
        <f>IF(DevCosts!C87="","",DevCosts!C87)</f>
        <v>Lender Legal Fees</v>
      </c>
      <c r="C85" s="1503">
        <f>IF(DevCosts!D87="","",DevCosts!D87)</f>
        <v>0</v>
      </c>
      <c r="D85" s="1504">
        <v>0</v>
      </c>
      <c r="E85" s="1505">
        <f t="shared" si="13"/>
        <v>0</v>
      </c>
      <c r="F85" s="1504" t="e">
        <f t="shared" ca="1" si="14"/>
        <v>#DIV/0!</v>
      </c>
      <c r="G85" s="1506"/>
    </row>
    <row r="86" spans="1:7" s="303" customFormat="1" ht="12" hidden="1">
      <c r="A86" s="1346" t="str">
        <f>IF(DevCosts!B88="","",DevCosts!B88)</f>
        <v/>
      </c>
      <c r="B86" s="1346" t="str">
        <f>IF(DevCosts!C88="","",DevCosts!C88)</f>
        <v>MIP</v>
      </c>
      <c r="C86" s="1503">
        <f>IF(DevCosts!D88="","",DevCosts!D88)</f>
        <v>0</v>
      </c>
      <c r="D86" s="1504">
        <v>0</v>
      </c>
      <c r="E86" s="1505">
        <f t="shared" si="13"/>
        <v>0</v>
      </c>
      <c r="F86" s="1504" t="e">
        <f t="shared" ca="1" si="14"/>
        <v>#DIV/0!</v>
      </c>
      <c r="G86" s="1506"/>
    </row>
    <row r="87" spans="1:7" s="303" customFormat="1" ht="12" hidden="1">
      <c r="A87" s="1346" t="str">
        <f>IF(DevCosts!B89="","",DevCosts!B89)</f>
        <v/>
      </c>
      <c r="B87" s="1346" t="str">
        <f>IF(DevCosts!C89="","",DevCosts!C89)</f>
        <v>Bond -- Rating Agency</v>
      </c>
      <c r="C87" s="1503">
        <f>IF(DevCosts!D89="","",DevCosts!D89)</f>
        <v>0</v>
      </c>
      <c r="D87" s="1504">
        <v>0</v>
      </c>
      <c r="E87" s="1505">
        <f t="shared" si="13"/>
        <v>0</v>
      </c>
      <c r="F87" s="1504" t="e">
        <f t="shared" ca="1" si="14"/>
        <v>#DIV/0!</v>
      </c>
      <c r="G87" s="1506"/>
    </row>
    <row r="88" spans="1:7" s="303" customFormat="1" ht="12" hidden="1">
      <c r="A88" s="1346" t="str">
        <f>IF(DevCosts!B90="","",DevCosts!B90)</f>
        <v/>
      </c>
      <c r="B88" s="1346" t="str">
        <f>IF(DevCosts!C90="","",DevCosts!C90)</f>
        <v>Bond -- Trustee</v>
      </c>
      <c r="C88" s="1503">
        <f>IF(DevCosts!D90="","",DevCosts!D90)</f>
        <v>0</v>
      </c>
      <c r="D88" s="1504">
        <v>0</v>
      </c>
      <c r="E88" s="1505">
        <f t="shared" si="13"/>
        <v>0</v>
      </c>
      <c r="F88" s="1504" t="e">
        <f t="shared" ca="1" si="14"/>
        <v>#DIV/0!</v>
      </c>
      <c r="G88" s="1506"/>
    </row>
    <row r="89" spans="1:7" s="303" customFormat="1" ht="12" hidden="1">
      <c r="A89" s="1346" t="str">
        <f>IF(DevCosts!B91="","",DevCosts!B91)</f>
        <v/>
      </c>
      <c r="B89" s="1346" t="str">
        <f>IF(DevCosts!C91="","",DevCosts!C91)</f>
        <v>Bond -- Underwriter</v>
      </c>
      <c r="C89" s="1503">
        <f>IF(DevCosts!D91="","",DevCosts!D91)</f>
        <v>0</v>
      </c>
      <c r="D89" s="1504">
        <v>0</v>
      </c>
      <c r="E89" s="1505">
        <f t="shared" si="13"/>
        <v>0</v>
      </c>
      <c r="F89" s="1504" t="e">
        <f t="shared" ca="1" si="14"/>
        <v>#DIV/0!</v>
      </c>
      <c r="G89" s="1506"/>
    </row>
    <row r="90" spans="1:7" s="303" customFormat="1" ht="12" hidden="1">
      <c r="A90" s="1346" t="str">
        <f>IF(DevCosts!B92="","",DevCosts!B92)</f>
        <v/>
      </c>
      <c r="B90" s="1346" t="str">
        <f>IF(DevCosts!C92="","",DevCosts!C92)</f>
        <v>Bond -- Underwriter's Counsel</v>
      </c>
      <c r="C90" s="1503">
        <f>IF(DevCosts!D92="","",DevCosts!D92)</f>
        <v>0</v>
      </c>
      <c r="D90" s="1504">
        <v>0</v>
      </c>
      <c r="E90" s="1505">
        <f t="shared" si="13"/>
        <v>0</v>
      </c>
      <c r="F90" s="1504" t="e">
        <f t="shared" ca="1" si="14"/>
        <v>#DIV/0!</v>
      </c>
      <c r="G90" s="1506"/>
    </row>
    <row r="91" spans="1:7" s="303" customFormat="1" ht="12" hidden="1">
      <c r="A91" s="1346" t="str">
        <f>IF(DevCosts!B93="","",DevCosts!B93)</f>
        <v/>
      </c>
      <c r="B91" s="1346" t="str">
        <f>IF(DevCosts!C93="","",DevCosts!C93)</f>
        <v>Bond -- Bond Counsel</v>
      </c>
      <c r="C91" s="1503">
        <f>IF(DevCosts!D93="","",DevCosts!D93)</f>
        <v>0</v>
      </c>
      <c r="D91" s="1504">
        <v>0</v>
      </c>
      <c r="E91" s="1505">
        <f t="shared" si="13"/>
        <v>0</v>
      </c>
      <c r="F91" s="1504" t="e">
        <f t="shared" ca="1" si="14"/>
        <v>#DIV/0!</v>
      </c>
      <c r="G91" s="1506"/>
    </row>
    <row r="92" spans="1:7" s="303" customFormat="1" ht="12" hidden="1">
      <c r="A92" s="1346" t="str">
        <f>IF(DevCosts!B94="","",DevCosts!B94)</f>
        <v/>
      </c>
      <c r="B92" s="1346" t="str">
        <f>IF(DevCosts!C94="","",DevCosts!C94)</f>
        <v>Bond -- Other</v>
      </c>
      <c r="C92" s="1503">
        <f>IF(DevCosts!D94="","",DevCosts!D94)</f>
        <v>0</v>
      </c>
      <c r="D92" s="1504">
        <v>0</v>
      </c>
      <c r="E92" s="1505">
        <f t="shared" si="13"/>
        <v>0</v>
      </c>
      <c r="F92" s="1504" t="e">
        <f t="shared" ca="1" si="14"/>
        <v>#DIV/0!</v>
      </c>
      <c r="G92" s="1506"/>
    </row>
    <row r="93" spans="1:7" s="303" customFormat="1" ht="12" hidden="1">
      <c r="A93" s="1346" t="str">
        <f>IF(DevCosts!B95="","",DevCosts!B95)</f>
        <v/>
      </c>
      <c r="B93" s="1346" t="str">
        <f>IF(DevCosts!C95="","",DevCosts!C95)</f>
        <v>Construction Interest</v>
      </c>
      <c r="C93" s="1503">
        <f ca="1">IF(DevCosts!D95="","",DevCosts!D95)</f>
        <v>0</v>
      </c>
      <c r="D93" s="1504">
        <f ca="1">C93</f>
        <v>0</v>
      </c>
      <c r="E93" s="1505">
        <f t="shared" ca="1" si="13"/>
        <v>0</v>
      </c>
      <c r="F93" s="1504" t="e">
        <f t="shared" ca="1" si="14"/>
        <v>#DIV/0!</v>
      </c>
      <c r="G93" s="1506"/>
    </row>
    <row r="94" spans="1:7" s="303" customFormat="1" ht="12" hidden="1">
      <c r="A94" s="1346" t="str">
        <f>IF(DevCosts!B96="","",DevCosts!B96)</f>
        <v/>
      </c>
      <c r="B94" s="1346" t="str">
        <f>IF(DevCosts!C96="","",DevCosts!C96)</f>
        <v>Other Lender Fees</v>
      </c>
      <c r="C94" s="1503">
        <f>IF(DevCosts!D96="","",DevCosts!D96)</f>
        <v>0</v>
      </c>
      <c r="D94" s="1504">
        <v>0</v>
      </c>
      <c r="E94" s="1505">
        <f t="shared" si="13"/>
        <v>0</v>
      </c>
      <c r="F94" s="1504" t="e">
        <f t="shared" ca="1" si="14"/>
        <v>#DIV/0!</v>
      </c>
      <c r="G94" s="1506"/>
    </row>
    <row r="95" spans="1:7" s="568" customFormat="1" ht="12">
      <c r="A95" s="1507" t="str">
        <f>IF(DevCosts!B97="","",DevCosts!B97)</f>
        <v>Lender Fees Subtotal</v>
      </c>
      <c r="B95" s="1507"/>
      <c r="C95" s="1510">
        <f ca="1">IF(DevCosts!D97="","",DevCosts!D97)</f>
        <v>0</v>
      </c>
      <c r="D95" s="1508">
        <f ca="1">SUM(D79:D94)</f>
        <v>0</v>
      </c>
      <c r="E95" s="1508">
        <f ca="1">SUM(E79:E94)</f>
        <v>0</v>
      </c>
      <c r="F95" s="1508" t="e">
        <f ca="1">SUM(F79:F94)</f>
        <v>#DIV/0!</v>
      </c>
      <c r="G95" s="1509"/>
    </row>
    <row r="96" spans="1:7" s="303" customFormat="1" ht="12" hidden="1">
      <c r="A96" s="1346" t="str">
        <f>IF(DevCosts!B98="","",DevCosts!B98)</f>
        <v/>
      </c>
      <c r="B96" s="1346" t="str">
        <f>IF(DevCosts!C98="","",DevCosts!C98)</f>
        <v>Liability Insurance</v>
      </c>
      <c r="C96" s="1503">
        <f>IF(DevCosts!D98="","",DevCosts!D98)</f>
        <v>0</v>
      </c>
      <c r="D96" s="1504">
        <f>C96</f>
        <v>0</v>
      </c>
      <c r="E96" s="1505">
        <f t="shared" si="13"/>
        <v>0</v>
      </c>
      <c r="F96" s="1504" t="e">
        <f ca="1">D96*$C$140/$D$131</f>
        <v>#DIV/0!</v>
      </c>
      <c r="G96" s="1506"/>
    </row>
    <row r="97" spans="1:7" s="303" customFormat="1" ht="12" hidden="1">
      <c r="A97" s="1346" t="str">
        <f>IF(DevCosts!B99="","",DevCosts!B99)</f>
        <v/>
      </c>
      <c r="B97" s="1346" t="str">
        <f>IF(DevCosts!C99="","",DevCosts!C99)</f>
        <v>Hazard Insurance</v>
      </c>
      <c r="C97" s="1503">
        <f>IF(DevCosts!D99="","",DevCosts!D99)</f>
        <v>0</v>
      </c>
      <c r="D97" s="1504">
        <f>C97</f>
        <v>0</v>
      </c>
      <c r="E97" s="1505">
        <f t="shared" si="13"/>
        <v>0</v>
      </c>
      <c r="F97" s="1504" t="e">
        <f ca="1">D97*$C$140/$D$131</f>
        <v>#DIV/0!</v>
      </c>
      <c r="G97" s="1506"/>
    </row>
    <row r="98" spans="1:7" s="303" customFormat="1" ht="12" hidden="1">
      <c r="A98" s="1346" t="str">
        <f>IF(DevCosts!B100="","",DevCosts!B100)</f>
        <v/>
      </c>
      <c r="B98" s="1346" t="str">
        <f>IF(DevCosts!C100="","",DevCosts!C100)</f>
        <v>Real Estate Taxes</v>
      </c>
      <c r="C98" s="1503">
        <f>IF(DevCosts!D100="","",DevCosts!D100)</f>
        <v>0</v>
      </c>
      <c r="D98" s="1504">
        <f>C98</f>
        <v>0</v>
      </c>
      <c r="E98" s="1505">
        <f t="shared" si="13"/>
        <v>0</v>
      </c>
      <c r="F98" s="1504" t="e">
        <f ca="1">D98*$C$140/$D$131</f>
        <v>#DIV/0!</v>
      </c>
      <c r="G98" s="1506"/>
    </row>
    <row r="99" spans="1:7" s="303" customFormat="1" ht="12" hidden="1">
      <c r="A99" s="1346" t="str">
        <f>IF(DevCosts!B101="","",DevCosts!B101)</f>
        <v/>
      </c>
      <c r="B99" s="1346" t="str">
        <f>IF(DevCosts!C101="","",DevCosts!C101)</f>
        <v>Negative Operations</v>
      </c>
      <c r="C99" s="1503">
        <f>IF(DevCosts!D101="","",DevCosts!D101)</f>
        <v>0</v>
      </c>
      <c r="D99" s="1504">
        <f>C99</f>
        <v>0</v>
      </c>
      <c r="E99" s="1505">
        <f t="shared" si="13"/>
        <v>0</v>
      </c>
      <c r="F99" s="1504" t="e">
        <f ca="1">D99*$C$140/$D$131</f>
        <v>#DIV/0!</v>
      </c>
      <c r="G99" s="1506"/>
    </row>
    <row r="100" spans="1:7" s="303" customFormat="1" ht="12" hidden="1">
      <c r="A100" s="1346" t="str">
        <f>IF(DevCosts!B102="","",DevCosts!B102)</f>
        <v/>
      </c>
      <c r="B100" s="1346" t="str">
        <f>IF(DevCosts!C102="","",DevCosts!C102)</f>
        <v>Other Construction Period</v>
      </c>
      <c r="C100" s="1503">
        <f>IF(DevCosts!D102="","",DevCosts!D102)</f>
        <v>0</v>
      </c>
      <c r="D100" s="1504">
        <v>0</v>
      </c>
      <c r="E100" s="1505">
        <f t="shared" si="13"/>
        <v>0</v>
      </c>
      <c r="F100" s="1504" t="e">
        <f ca="1">D100*$C$140/$D$131</f>
        <v>#DIV/0!</v>
      </c>
      <c r="G100" s="1506"/>
    </row>
    <row r="101" spans="1:7" s="568" customFormat="1" ht="12">
      <c r="A101" s="1507" t="str">
        <f>IF(DevCosts!B103="","",DevCosts!B103)</f>
        <v>Construction Period Subtotal</v>
      </c>
      <c r="B101" s="1507"/>
      <c r="C101" s="1508">
        <f>IF(DevCosts!D103="","",DevCosts!D103)</f>
        <v>0</v>
      </c>
      <c r="D101" s="1508">
        <f>SUM(D96:D100)</f>
        <v>0</v>
      </c>
      <c r="E101" s="1508">
        <f>SUM(E96:E100)</f>
        <v>0</v>
      </c>
      <c r="F101" s="1508" t="e">
        <f ca="1">SUM(F96:F100)</f>
        <v>#DIV/0!</v>
      </c>
      <c r="G101" s="1509"/>
    </row>
    <row r="102" spans="1:7" s="303" customFormat="1" ht="12" hidden="1">
      <c r="A102" s="1346" t="str">
        <f>IF(DevCosts!B104="","",DevCosts!B104)</f>
        <v/>
      </c>
      <c r="B102" s="1346" t="str">
        <f>IF(DevCosts!C104="","",DevCosts!C104)</f>
        <v>Leasing Personnel</v>
      </c>
      <c r="C102" s="1503">
        <f>IF(DevCosts!D104="","",DevCosts!D104)</f>
        <v>0</v>
      </c>
      <c r="D102" s="1504">
        <v>0</v>
      </c>
      <c r="E102" s="1505">
        <f t="shared" si="13"/>
        <v>0</v>
      </c>
      <c r="F102" s="1504" t="e">
        <f ca="1">D102*$C$140/$D$131</f>
        <v>#DIV/0!</v>
      </c>
      <c r="G102" s="1506"/>
    </row>
    <row r="103" spans="1:7" s="303" customFormat="1" ht="12" hidden="1">
      <c r="A103" s="1346" t="str">
        <f>IF(DevCosts!B105="","",DevCosts!B105)</f>
        <v/>
      </c>
      <c r="B103" s="1346" t="str">
        <f>IF(DevCosts!C105="","",DevCosts!C105)</f>
        <v>Advertising</v>
      </c>
      <c r="C103" s="1503">
        <f>IF(DevCosts!D105="","",DevCosts!D105)</f>
        <v>0</v>
      </c>
      <c r="D103" s="1504">
        <v>0</v>
      </c>
      <c r="E103" s="1505">
        <f t="shared" si="13"/>
        <v>0</v>
      </c>
      <c r="F103" s="1504" t="e">
        <f ca="1">D103*$C$140/$D$131</f>
        <v>#DIV/0!</v>
      </c>
      <c r="G103" s="1506"/>
    </row>
    <row r="104" spans="1:7" s="303" customFormat="1" ht="12" hidden="1">
      <c r="A104" s="1346" t="str">
        <f>IF(DevCosts!B106="","",DevCosts!B106)</f>
        <v/>
      </c>
      <c r="B104" s="1346" t="str">
        <f>IF(DevCosts!C106="","",DevCosts!C106)</f>
        <v>Model Units</v>
      </c>
      <c r="C104" s="1503">
        <f>IF(DevCosts!D106="","",DevCosts!D106)</f>
        <v>0</v>
      </c>
      <c r="D104" s="1504">
        <v>0</v>
      </c>
      <c r="E104" s="1505">
        <f t="shared" si="13"/>
        <v>0</v>
      </c>
      <c r="F104" s="1504" t="e">
        <f ca="1">D104*$C$140/$D$131</f>
        <v>#DIV/0!</v>
      </c>
      <c r="G104" s="1506"/>
    </row>
    <row r="105" spans="1:7" s="303" customFormat="1" ht="12" hidden="1">
      <c r="A105" s="1346" t="str">
        <f>IF(DevCosts!B107="","",DevCosts!B107)</f>
        <v/>
      </c>
      <c r="B105" s="1346" t="str">
        <f>IF(DevCosts!C107="","",DevCosts!C107)</f>
        <v>Other Marketing &amp; Leasing</v>
      </c>
      <c r="C105" s="1503">
        <f>IF(DevCosts!D107="","",DevCosts!D107)</f>
        <v>0</v>
      </c>
      <c r="D105" s="1504">
        <v>0</v>
      </c>
      <c r="E105" s="1505">
        <f t="shared" si="13"/>
        <v>0</v>
      </c>
      <c r="F105" s="1504" t="e">
        <f ca="1">D105*$C$140/$D$131</f>
        <v>#DIV/0!</v>
      </c>
      <c r="G105" s="1506"/>
    </row>
    <row r="106" spans="1:7" s="568" customFormat="1" ht="12">
      <c r="A106" s="1507" t="str">
        <f>IF(DevCosts!B108="","",DevCosts!B108)</f>
        <v>Marketing &amp; Leasing Subtotal</v>
      </c>
      <c r="B106" s="1507"/>
      <c r="C106" s="1508">
        <f>IF(DevCosts!D108="","",DevCosts!D108)</f>
        <v>0</v>
      </c>
      <c r="D106" s="1508">
        <f>SUM(D102:D105)</f>
        <v>0</v>
      </c>
      <c r="E106" s="1508">
        <f>SUM(E102:E105)</f>
        <v>0</v>
      </c>
      <c r="F106" s="1508" t="e">
        <f ca="1">SUM(F102:F105)</f>
        <v>#DIV/0!</v>
      </c>
      <c r="G106" s="1509"/>
    </row>
    <row r="107" spans="1:7" s="303" customFormat="1" ht="12" hidden="1">
      <c r="A107" s="1346" t="str">
        <f>IF(DevCosts!B109="","",DevCosts!B109)</f>
        <v/>
      </c>
      <c r="B107" s="1346" t="str">
        <f>IF(DevCosts!C109="","",DevCosts!C109)</f>
        <v>Rent Differential</v>
      </c>
      <c r="C107" s="1503">
        <f>IF(DevCosts!D109="","",DevCosts!D109)</f>
        <v>0</v>
      </c>
      <c r="D107" s="1504">
        <f>C107</f>
        <v>0</v>
      </c>
      <c r="E107" s="1505">
        <f t="shared" si="13"/>
        <v>0</v>
      </c>
      <c r="F107" s="1504" t="e">
        <f ca="1">D107*$C$140/$D$131</f>
        <v>#DIV/0!</v>
      </c>
      <c r="G107" s="1506"/>
    </row>
    <row r="108" spans="1:7" s="303" customFormat="1" ht="12" hidden="1">
      <c r="A108" s="1346" t="str">
        <f>IF(DevCosts!B110="","",DevCosts!B110)</f>
        <v/>
      </c>
      <c r="B108" s="1346" t="str">
        <f>IF(DevCosts!C110="","",DevCosts!C110)</f>
        <v>Personnel Expenses</v>
      </c>
      <c r="C108" s="1503">
        <f>IF(DevCosts!D110="","",DevCosts!D110)</f>
        <v>0</v>
      </c>
      <c r="D108" s="1504">
        <f>C108</f>
        <v>0</v>
      </c>
      <c r="E108" s="1505">
        <f t="shared" si="13"/>
        <v>0</v>
      </c>
      <c r="F108" s="1504" t="e">
        <f ca="1">D108*$C$140/$D$131</f>
        <v>#DIV/0!</v>
      </c>
      <c r="G108" s="1506"/>
    </row>
    <row r="109" spans="1:7" s="303" customFormat="1" ht="12" hidden="1">
      <c r="A109" s="1346" t="str">
        <f>IF(DevCosts!B111="","",DevCosts!B111)</f>
        <v/>
      </c>
      <c r="B109" s="1346" t="str">
        <f>IF(DevCosts!C111="","",DevCosts!C111)</f>
        <v>Moving Expenses</v>
      </c>
      <c r="C109" s="1503">
        <f>IF(DevCosts!D111="","",DevCosts!D111)</f>
        <v>0</v>
      </c>
      <c r="D109" s="1504">
        <f>C109</f>
        <v>0</v>
      </c>
      <c r="E109" s="1505">
        <f t="shared" si="13"/>
        <v>0</v>
      </c>
      <c r="F109" s="1504" t="e">
        <f ca="1">D109*$C$140/$D$131</f>
        <v>#DIV/0!</v>
      </c>
      <c r="G109" s="1506"/>
    </row>
    <row r="110" spans="1:7" s="303" customFormat="1" ht="12" hidden="1">
      <c r="A110" s="1346" t="str">
        <f>IF(DevCosts!B112="","",DevCosts!B112)</f>
        <v/>
      </c>
      <c r="B110" s="1346" t="str">
        <f>IF(DevCosts!C112="","",DevCosts!C112)</f>
        <v>Other Tenant Relocation</v>
      </c>
      <c r="C110" s="1503">
        <f>IF(DevCosts!D112="","",DevCosts!D112)</f>
        <v>0</v>
      </c>
      <c r="D110" s="1504">
        <f>C110</f>
        <v>0</v>
      </c>
      <c r="E110" s="1505">
        <f t="shared" si="13"/>
        <v>0</v>
      </c>
      <c r="F110" s="1504" t="e">
        <f ca="1">D110*$C$140/$D$131</f>
        <v>#DIV/0!</v>
      </c>
      <c r="G110" s="1506"/>
    </row>
    <row r="111" spans="1:7" s="568" customFormat="1" ht="12">
      <c r="A111" s="1507" t="str">
        <f>IF(DevCosts!B113="","",DevCosts!B113)</f>
        <v>Tenant Relocation Subtotal</v>
      </c>
      <c r="B111" s="1507"/>
      <c r="C111" s="1508">
        <f>IF(DevCosts!D113="","",DevCosts!D113)</f>
        <v>0</v>
      </c>
      <c r="D111" s="1508">
        <f>SUM(D107:D110)</f>
        <v>0</v>
      </c>
      <c r="E111" s="1508">
        <f>SUM(E107:E110)</f>
        <v>0</v>
      </c>
      <c r="F111" s="1508" t="e">
        <f ca="1">SUM(F107:F110)</f>
        <v>#DIV/0!</v>
      </c>
      <c r="G111" s="1509"/>
    </row>
    <row r="112" spans="1:7" s="303" customFormat="1" ht="12" hidden="1">
      <c r="A112" s="1346" t="str">
        <f>IF(DevCosts!B114="","",DevCosts!B114)</f>
        <v/>
      </c>
      <c r="B112" s="1346" t="str">
        <f>IF(DevCosts!C114="","",DevCosts!C114)</f>
        <v>Developer Fee</v>
      </c>
      <c r="C112" s="1503">
        <f ca="1">IF(DevCosts!D114="","",DevCosts!D114)</f>
        <v>0</v>
      </c>
      <c r="D112" s="1504">
        <v>0</v>
      </c>
      <c r="E112" s="1505">
        <f t="shared" ca="1" si="13"/>
        <v>0</v>
      </c>
      <c r="F112" s="1504" t="e">
        <f ca="1">D112*$C$140/$D$131</f>
        <v>#DIV/0!</v>
      </c>
      <c r="G112" s="1506"/>
    </row>
    <row r="113" spans="1:7" s="303" customFormat="1" ht="12" hidden="1">
      <c r="A113" s="1346" t="str">
        <f>IF(DevCosts!B115="","",DevCosts!B115)</f>
        <v/>
      </c>
      <c r="B113" s="1346" t="str">
        <f>IF(DevCosts!C115="","",DevCosts!C115)</f>
        <v>Deferred Developer Fee</v>
      </c>
      <c r="C113" s="1503">
        <f>IF(DevCosts!D115="","",DevCosts!D115)</f>
        <v>0</v>
      </c>
      <c r="D113" s="1504">
        <v>0</v>
      </c>
      <c r="E113" s="1505">
        <f t="shared" si="13"/>
        <v>0</v>
      </c>
      <c r="F113" s="1504" t="e">
        <f ca="1">D113*$C$140/$D$131</f>
        <v>#DIV/0!</v>
      </c>
      <c r="G113" s="1506"/>
    </row>
    <row r="114" spans="1:7" s="303" customFormat="1" ht="12" hidden="1">
      <c r="A114" s="1346" t="str">
        <f>IF(DevCosts!B116="","",DevCosts!B116)</f>
        <v/>
      </c>
      <c r="B114" s="1346" t="str">
        <f>IF(DevCosts!C116="","",DevCosts!C116)</f>
        <v>Construction Admin.</v>
      </c>
      <c r="C114" s="1503">
        <f>IF(DevCosts!D116="","",DevCosts!D116)</f>
        <v>0</v>
      </c>
      <c r="D114" s="1504">
        <v>0</v>
      </c>
      <c r="E114" s="1505">
        <f t="shared" si="13"/>
        <v>0</v>
      </c>
      <c r="F114" s="1504" t="e">
        <f ca="1">D114*$C$140/$D$131</f>
        <v>#DIV/0!</v>
      </c>
      <c r="G114" s="1506"/>
    </row>
    <row r="115" spans="1:7" s="303" customFormat="1" ht="12" hidden="1">
      <c r="A115" s="1346" t="str">
        <f>IF(DevCosts!B117="","",DevCosts!B117)</f>
        <v/>
      </c>
      <c r="B115" s="1346" t="str">
        <f>IF(DevCosts!C117="","",DevCosts!C117)</f>
        <v>Salaries &amp; Overhead</v>
      </c>
      <c r="C115" s="1503">
        <f>IF(DevCosts!D117="","",DevCosts!D117)</f>
        <v>0</v>
      </c>
      <c r="D115" s="1504">
        <v>0</v>
      </c>
      <c r="E115" s="1505">
        <f t="shared" si="13"/>
        <v>0</v>
      </c>
      <c r="F115" s="1504" t="e">
        <f ca="1">D115*$C$140/$D$131</f>
        <v>#DIV/0!</v>
      </c>
      <c r="G115" s="1506"/>
    </row>
    <row r="116" spans="1:7" s="303" customFormat="1" ht="12" hidden="1">
      <c r="A116" s="1346" t="str">
        <f>IF(DevCosts!B118="","",DevCosts!B118)</f>
        <v/>
      </c>
      <c r="B116" s="1346" t="str">
        <f>IF(DevCosts!C118="","",DevCosts!C118)</f>
        <v>Other Developer Fee</v>
      </c>
      <c r="C116" s="1503">
        <f>IF(DevCosts!D118="","",DevCosts!D118)</f>
        <v>0</v>
      </c>
      <c r="D116" s="1504">
        <v>0</v>
      </c>
      <c r="E116" s="1505">
        <f t="shared" si="13"/>
        <v>0</v>
      </c>
      <c r="F116" s="1504" t="e">
        <f ca="1">D116*$C$140/$D$131</f>
        <v>#DIV/0!</v>
      </c>
      <c r="G116" s="1506"/>
    </row>
    <row r="117" spans="1:7" s="568" customFormat="1" ht="12">
      <c r="A117" s="1507" t="str">
        <f>IF(DevCosts!B119="","",DevCosts!B119)</f>
        <v>Developer Fee Subtotal</v>
      </c>
      <c r="B117" s="1507"/>
      <c r="C117" s="1508">
        <f ca="1">IF(DevCosts!D119="","",DevCosts!D119)</f>
        <v>0</v>
      </c>
      <c r="D117" s="1508">
        <f>SUM(D112:D116)</f>
        <v>0</v>
      </c>
      <c r="E117" s="1508">
        <f ca="1">SUM(E112:E116)</f>
        <v>0</v>
      </c>
      <c r="F117" s="1508" t="e">
        <f ca="1">SUM(F112:F116)</f>
        <v>#DIV/0!</v>
      </c>
      <c r="G117" s="1509"/>
    </row>
    <row r="118" spans="1:7" s="303" customFormat="1" ht="12" hidden="1">
      <c r="A118" s="1346" t="str">
        <f>IF(DevCosts!B120="","",DevCosts!B120)</f>
        <v/>
      </c>
      <c r="B118" s="1346" t="str">
        <f>IF(DevCosts!C120="","",DevCosts!C120)</f>
        <v>Lease-Up Reserve</v>
      </c>
      <c r="C118" s="1503">
        <f>IF(DevCosts!D120="","",DevCosts!D120)</f>
        <v>0</v>
      </c>
      <c r="D118" s="1504">
        <f>C118</f>
        <v>0</v>
      </c>
      <c r="E118" s="1505">
        <f t="shared" si="13"/>
        <v>0</v>
      </c>
      <c r="F118" s="1504" t="e">
        <f t="shared" ref="F118:F124" ca="1" si="15">D118*$C$140/$D$131</f>
        <v>#DIV/0!</v>
      </c>
      <c r="G118" s="1506"/>
    </row>
    <row r="119" spans="1:7" s="303" customFormat="1" ht="12" hidden="1">
      <c r="A119" s="1346" t="str">
        <f>IF(DevCosts!B121="","",DevCosts!B121)</f>
        <v/>
      </c>
      <c r="B119" s="1346" t="str">
        <f>IF(DevCosts!C121="","",DevCosts!C121)</f>
        <v>ACC Reserve</v>
      </c>
      <c r="C119" s="1503">
        <f>IF(DevCosts!D121="","",DevCosts!D121)</f>
        <v>0</v>
      </c>
      <c r="D119" s="1504">
        <v>0</v>
      </c>
      <c r="E119" s="1505">
        <f t="shared" si="13"/>
        <v>0</v>
      </c>
      <c r="F119" s="1504" t="e">
        <f t="shared" ca="1" si="15"/>
        <v>#DIV/0!</v>
      </c>
      <c r="G119" s="1506"/>
    </row>
    <row r="120" spans="1:7" s="303" customFormat="1" ht="12" hidden="1">
      <c r="A120" s="1346" t="str">
        <f>IF(DevCosts!B122="","",DevCosts!B122)</f>
        <v/>
      </c>
      <c r="B120" s="1346" t="str">
        <f>IF(DevCosts!C122="","",DevCosts!C122)</f>
        <v>Insurance Reserve</v>
      </c>
      <c r="C120" s="1503">
        <f>IF(DevCosts!D122="","",DevCosts!D122)</f>
        <v>0</v>
      </c>
      <c r="D120" s="1504">
        <v>0</v>
      </c>
      <c r="E120" s="1505">
        <f t="shared" si="13"/>
        <v>0</v>
      </c>
      <c r="F120" s="1504" t="e">
        <f t="shared" ca="1" si="15"/>
        <v>#DIV/0!</v>
      </c>
      <c r="G120" s="1506"/>
    </row>
    <row r="121" spans="1:7" s="303" customFormat="1" ht="12" hidden="1">
      <c r="A121" s="1346" t="str">
        <f>IF(DevCosts!B123="","",DevCosts!B123)</f>
        <v/>
      </c>
      <c r="B121" s="1346" t="str">
        <f>IF(DevCosts!C123="","",DevCosts!C123)</f>
        <v>Property Tax Reserve</v>
      </c>
      <c r="C121" s="1503">
        <f>IF(DevCosts!D123="","",DevCosts!D123)</f>
        <v>0</v>
      </c>
      <c r="D121" s="1504">
        <v>0</v>
      </c>
      <c r="E121" s="1505">
        <f t="shared" si="13"/>
        <v>0</v>
      </c>
      <c r="F121" s="1504" t="e">
        <f t="shared" ca="1" si="15"/>
        <v>#DIV/0!</v>
      </c>
      <c r="G121" s="1506"/>
    </row>
    <row r="122" spans="1:7" s="303" customFormat="1" ht="12" hidden="1">
      <c r="A122" s="1346" t="str">
        <f>IF(DevCosts!B124="","",DevCosts!B124)</f>
        <v/>
      </c>
      <c r="B122" s="1346" t="str">
        <f>IF(DevCosts!C124="","",DevCosts!C124)</f>
        <v>Operating Reserve</v>
      </c>
      <c r="C122" s="1503">
        <f>IF(DevCosts!D124="","",DevCosts!D124)</f>
        <v>0</v>
      </c>
      <c r="D122" s="1504">
        <v>0</v>
      </c>
      <c r="E122" s="1505">
        <f t="shared" si="13"/>
        <v>0</v>
      </c>
      <c r="F122" s="1504" t="e">
        <f t="shared" ca="1" si="15"/>
        <v>#DIV/0!</v>
      </c>
      <c r="G122" s="1506"/>
    </row>
    <row r="123" spans="1:7" s="303" customFormat="1" ht="12" hidden="1">
      <c r="A123" s="1346" t="str">
        <f>IF(DevCosts!B125="","",DevCosts!B125)</f>
        <v/>
      </c>
      <c r="B123" s="1346" t="str">
        <f>IF(DevCosts!C125="","",DevCosts!C125)</f>
        <v>Replacement Reserve</v>
      </c>
      <c r="C123" s="1503">
        <f>IF(DevCosts!D125="","",DevCosts!D125)</f>
        <v>0</v>
      </c>
      <c r="D123" s="1504">
        <v>0</v>
      </c>
      <c r="E123" s="1505">
        <f t="shared" si="13"/>
        <v>0</v>
      </c>
      <c r="F123" s="1504" t="e">
        <f t="shared" ca="1" si="15"/>
        <v>#DIV/0!</v>
      </c>
      <c r="G123" s="1506"/>
    </row>
    <row r="124" spans="1:7" s="303" customFormat="1" ht="12" hidden="1">
      <c r="A124" s="1346" t="str">
        <f>IF(DevCosts!B126="","",DevCosts!B126)</f>
        <v/>
      </c>
      <c r="B124" s="1346" t="str">
        <f>IF(DevCosts!C126="","",DevCosts!C126)</f>
        <v>Other Reserves</v>
      </c>
      <c r="C124" s="1503">
        <f>IF(DevCosts!D126="","",DevCosts!D126)</f>
        <v>0</v>
      </c>
      <c r="D124" s="1504">
        <v>0</v>
      </c>
      <c r="E124" s="1505">
        <f t="shared" si="13"/>
        <v>0</v>
      </c>
      <c r="F124" s="1504" t="e">
        <f t="shared" ca="1" si="15"/>
        <v>#DIV/0!</v>
      </c>
      <c r="G124" s="1506"/>
    </row>
    <row r="125" spans="1:7" s="568" customFormat="1" ht="12">
      <c r="A125" s="1507" t="str">
        <f>IF(DevCosts!B127="","",DevCosts!B127)</f>
        <v>Reserves Subtotal</v>
      </c>
      <c r="B125" s="1507"/>
      <c r="C125" s="1508">
        <f>IF(DevCosts!D127="","",DevCosts!D127)</f>
        <v>0</v>
      </c>
      <c r="D125" s="1508">
        <f>SUM(D118:D124)</f>
        <v>0</v>
      </c>
      <c r="E125" s="1508">
        <f>SUM(E118:E124)</f>
        <v>0</v>
      </c>
      <c r="F125" s="1508" t="e">
        <f ca="1">SUM(F118:F124)</f>
        <v>#DIV/0!</v>
      </c>
      <c r="G125" s="1509"/>
    </row>
    <row r="126" spans="1:7" s="303" customFormat="1" ht="12" hidden="1">
      <c r="A126" s="1346" t="str">
        <f>IF(DevCosts!B128="","",DevCosts!B128)</f>
        <v/>
      </c>
      <c r="B126" s="1346" t="str">
        <f>IF(DevCosts!C128="","",DevCosts!C128)</f>
        <v>Job Training &amp; Placement</v>
      </c>
      <c r="C126" s="1503">
        <f>IF(DevCosts!D128="","",DevCosts!D128)</f>
        <v>0</v>
      </c>
      <c r="D126" s="1504">
        <v>0</v>
      </c>
      <c r="E126" s="1505">
        <f t="shared" si="13"/>
        <v>0</v>
      </c>
      <c r="F126" s="1504" t="e">
        <f ca="1">D126*$C$140/$D$131</f>
        <v>#DIV/0!</v>
      </c>
      <c r="G126" s="1506"/>
    </row>
    <row r="127" spans="1:7" s="303" customFormat="1" ht="12" hidden="1">
      <c r="A127" s="1346" t="str">
        <f>IF(DevCosts!B129="","",DevCosts!B129)</f>
        <v/>
      </c>
      <c r="B127" s="1346" t="str">
        <f>IF(DevCosts!C129="","",DevCosts!C129)</f>
        <v>Day Care Services</v>
      </c>
      <c r="C127" s="1503">
        <f>IF(DevCosts!D129="","",DevCosts!D129)</f>
        <v>0</v>
      </c>
      <c r="D127" s="1504">
        <v>0</v>
      </c>
      <c r="E127" s="1505">
        <f t="shared" si="13"/>
        <v>0</v>
      </c>
      <c r="F127" s="1504" t="e">
        <f ca="1">D127*$C$140/$D$131</f>
        <v>#DIV/0!</v>
      </c>
      <c r="G127" s="1506"/>
    </row>
    <row r="128" spans="1:7" s="303" customFormat="1" ht="12" hidden="1">
      <c r="A128" s="1346" t="str">
        <f>IF(DevCosts!B130="","",DevCosts!B130)</f>
        <v/>
      </c>
      <c r="B128" s="1346" t="str">
        <f>IF(DevCosts!C130="","",DevCosts!C130)</f>
        <v>Tenant Services</v>
      </c>
      <c r="C128" s="1503">
        <f>IF(DevCosts!D130="","",DevCosts!D130)</f>
        <v>0</v>
      </c>
      <c r="D128" s="1504">
        <v>0</v>
      </c>
      <c r="E128" s="1505">
        <f t="shared" si="13"/>
        <v>0</v>
      </c>
      <c r="F128" s="1504" t="e">
        <f ca="1">D128*$C$140/$D$131</f>
        <v>#DIV/0!</v>
      </c>
      <c r="G128" s="1506"/>
    </row>
    <row r="129" spans="1:7" s="303" customFormat="1" ht="12" hidden="1">
      <c r="A129" s="1346" t="str">
        <f>IF(DevCosts!B131="","",DevCosts!B131)</f>
        <v/>
      </c>
      <c r="B129" s="1346" t="str">
        <f>IF(DevCosts!C131="","",DevCosts!C131)</f>
        <v>Other Tenant Services</v>
      </c>
      <c r="C129" s="1503">
        <f>IF(DevCosts!D131="","",DevCosts!D131)</f>
        <v>0</v>
      </c>
      <c r="D129" s="1504">
        <v>0</v>
      </c>
      <c r="E129" s="1505">
        <f t="shared" si="13"/>
        <v>0</v>
      </c>
      <c r="F129" s="1504" t="e">
        <f ca="1">D129*$C$140/$D$131</f>
        <v>#DIV/0!</v>
      </c>
      <c r="G129" s="1506"/>
    </row>
    <row r="130" spans="1:7" s="377" customFormat="1" thickBot="1">
      <c r="A130" s="1511" t="str">
        <f>IF(DevCosts!B132="","",DevCosts!B132)</f>
        <v>Tenant Services Subtotal</v>
      </c>
      <c r="B130" s="1511"/>
      <c r="C130" s="1512">
        <f>IF(DevCosts!D132="","",DevCosts!D132)</f>
        <v>0</v>
      </c>
      <c r="D130" s="1512">
        <f>SUM(D126:D129)</f>
        <v>0</v>
      </c>
      <c r="E130" s="1512">
        <f>SUM(E126:E129)</f>
        <v>0</v>
      </c>
      <c r="F130" s="1512" t="e">
        <f ca="1">SUM(F126:F129)</f>
        <v>#DIV/0!</v>
      </c>
      <c r="G130" s="1513"/>
    </row>
    <row r="131" spans="1:7" s="295" customFormat="1" ht="13.5" thickTop="1">
      <c r="A131" s="1095" t="str">
        <f>IF(DevCosts!B133="","",DevCosts!B133)</f>
        <v>Grand Total Dev Costs</v>
      </c>
      <c r="B131" s="1095"/>
      <c r="C131" s="1514">
        <f ca="1">IF(DevCosts!D133="","",DevCosts!D133)</f>
        <v>0</v>
      </c>
      <c r="D131" s="1514">
        <f ca="1">D130+D125+D117+D111+D106+D101+D95+D78+D56+D48+D40+D32+D20+D13</f>
        <v>0</v>
      </c>
      <c r="E131" s="1514">
        <f ca="1">E130+E125+E117+E111+E106+E101+E95+E78+E56+E48+E40+E32+E20+E13</f>
        <v>0</v>
      </c>
      <c r="F131" s="1514" t="e">
        <f ca="1">F130+F125+F117+F111+F106+F101+F95+F78+F56+F48+F40+F32+F20+F13</f>
        <v>#DIV/0!</v>
      </c>
      <c r="G131" s="1515"/>
    </row>
    <row r="132" spans="1:7" ht="13.5" thickBot="1">
      <c r="A132" t="str">
        <f>IF(DevCosts!B134="","",DevCosts!B134)</f>
        <v/>
      </c>
      <c r="B132" t="str">
        <f>IF(DevCosts!C134="","",DevCosts!C134)</f>
        <v/>
      </c>
      <c r="C132" s="375" t="str">
        <f>IF(DevCosts!D134="","",DevCosts!D134)</f>
        <v/>
      </c>
    </row>
    <row r="133" spans="1:7" ht="13.5" thickBot="1">
      <c r="A133" t="s">
        <v>822</v>
      </c>
      <c r="C133" s="379" t="e">
        <f ca="1">C131/C131</f>
        <v>#DIV/0!</v>
      </c>
      <c r="D133" s="379" t="e">
        <f ca="1">D131/$C$131</f>
        <v>#DIV/0!</v>
      </c>
      <c r="E133" s="379" t="e">
        <f ca="1">E131/$C$131</f>
        <v>#DIV/0!</v>
      </c>
      <c r="F133" s="1516" t="e">
        <f ca="1">F131/$C$131</f>
        <v>#DIV/0!</v>
      </c>
    </row>
    <row r="134" spans="1:7" ht="13.5" thickBot="1">
      <c r="A134" t="str">
        <f>IF(DevCosts!B136="","",DevCosts!B136)</f>
        <v/>
      </c>
      <c r="B134" t="str">
        <f>IF(DevCosts!C136="","",DevCosts!C136)</f>
        <v/>
      </c>
      <c r="C134" s="375" t="str">
        <f>IF(DevCosts!D136="","",DevCosts!D136)</f>
        <v/>
      </c>
    </row>
    <row r="135" spans="1:7">
      <c r="A135" s="380" t="s">
        <v>823</v>
      </c>
      <c r="B135" s="381"/>
      <c r="C135" s="382" t="str">
        <f>IF(DevCosts!D137="","",DevCosts!D137)</f>
        <v/>
      </c>
    </row>
    <row r="136" spans="1:7">
      <c r="A136" s="383" t="str">
        <f>IF(DevCosts!B138="","",DevCosts!B138)</f>
        <v/>
      </c>
      <c r="B136" s="285" t="s">
        <v>636</v>
      </c>
      <c r="C136" s="384">
        <f>IF(Sources!C11="Chicago DOH",Sources!D11,0)</f>
        <v>0</v>
      </c>
    </row>
    <row r="137" spans="1:7">
      <c r="A137" s="383" t="str">
        <f>IF(DevCosts!B139="","",DevCosts!B139)</f>
        <v/>
      </c>
      <c r="B137" s="285" t="s">
        <v>638</v>
      </c>
      <c r="C137" s="384">
        <f>IF(Sources!C9="Chicago DOH",Sources!D9,0)</f>
        <v>0</v>
      </c>
    </row>
    <row r="138" spans="1:7">
      <c r="A138" s="383"/>
      <c r="B138" s="285" t="s">
        <v>635</v>
      </c>
      <c r="C138" s="384">
        <f>IF(Sources!C10="Chicago DOH",Sources!D10,0)</f>
        <v>0</v>
      </c>
    </row>
    <row r="139" spans="1:7">
      <c r="A139" s="386" t="str">
        <f>IF(DevCosts!B140="","",DevCosts!B140)</f>
        <v/>
      </c>
      <c r="B139" s="565" t="s">
        <v>824</v>
      </c>
      <c r="C139" s="566">
        <f>IF(Sources!C13="Chicago DOH",Sources!D13,0)</f>
        <v>0</v>
      </c>
    </row>
    <row r="140" spans="1:7" ht="13.5" thickBot="1">
      <c r="A140" s="1517" t="s">
        <v>825</v>
      </c>
      <c r="B140" s="1500"/>
      <c r="C140" s="1518">
        <f>SUM(C136:C138)</f>
        <v>0</v>
      </c>
    </row>
    <row r="141" spans="1:7">
      <c r="A141" t="str">
        <f>IF(DevCosts!B142="","",DevCosts!B142)</f>
        <v/>
      </c>
      <c r="B141" t="str">
        <f>IF(DevCosts!C142="","",DevCosts!C142)</f>
        <v/>
      </c>
      <c r="C141" s="375" t="str">
        <f>IF(DevCosts!D142="","",DevCosts!D142)</f>
        <v/>
      </c>
    </row>
    <row r="142" spans="1:7">
      <c r="A142" t="str">
        <f>IF(DevCosts!B143="","",DevCosts!B143)</f>
        <v/>
      </c>
      <c r="B142" t="str">
        <f>IF(DevCosts!C143="","",DevCosts!C143)</f>
        <v/>
      </c>
      <c r="C142" s="375" t="str">
        <f>IF(DevCosts!D143="","",DevCosts!D143)</f>
        <v/>
      </c>
    </row>
    <row r="143" spans="1:7">
      <c r="A143" t="str">
        <f>IF(DevCosts!B144="","",DevCosts!B144)</f>
        <v/>
      </c>
      <c r="B143" t="str">
        <f>IF(DevCosts!C144="","",DevCosts!C144)</f>
        <v/>
      </c>
      <c r="C143" s="375" t="str">
        <f>IF(DevCosts!D144="","",DevCosts!D144)</f>
        <v/>
      </c>
    </row>
    <row r="144" spans="1:7">
      <c r="A144" t="str">
        <f>IF(DevCosts!B145="","",DevCosts!B145)</f>
        <v/>
      </c>
      <c r="B144" t="str">
        <f>IF(DevCosts!C145="","",DevCosts!C145)</f>
        <v/>
      </c>
      <c r="C144" s="375" t="str">
        <f>IF(DevCosts!D145="","",DevCosts!D145)</f>
        <v/>
      </c>
    </row>
    <row r="145" spans="1:3">
      <c r="A145" t="str">
        <f>IF(DevCosts!B146="","",DevCosts!B146)</f>
        <v/>
      </c>
      <c r="B145" t="str">
        <f>IF(DevCosts!C146="","",DevCosts!C146)</f>
        <v/>
      </c>
      <c r="C145" s="375" t="str">
        <f>IF(DevCosts!D146="","",DevCosts!D146)</f>
        <v/>
      </c>
    </row>
    <row r="146" spans="1:3">
      <c r="A146" t="str">
        <f>IF(DevCosts!B147="","",DevCosts!B147)</f>
        <v/>
      </c>
      <c r="B146" t="str">
        <f>IF(DevCosts!C147="","",DevCosts!C147)</f>
        <v/>
      </c>
      <c r="C146" s="375" t="str">
        <f>IF(DevCosts!D147="","",DevCosts!D147)</f>
        <v/>
      </c>
    </row>
    <row r="147" spans="1:3">
      <c r="A147" t="str">
        <f>IF(DevCosts!B148="","",DevCosts!B148)</f>
        <v/>
      </c>
      <c r="B147" t="str">
        <f>IF(DevCosts!C148="","",DevCosts!C148)</f>
        <v/>
      </c>
      <c r="C147" s="375" t="str">
        <f>IF(DevCosts!D148="","",DevCosts!D148)</f>
        <v/>
      </c>
    </row>
    <row r="148" spans="1:3">
      <c r="A148" t="str">
        <f>IF(DevCosts!B149="","",DevCosts!B149)</f>
        <v/>
      </c>
      <c r="B148" t="str">
        <f>IF(DevCosts!C149="","",DevCosts!C149)</f>
        <v/>
      </c>
      <c r="C148" s="375" t="str">
        <f>IF(DevCosts!D149="","",DevCosts!D149)</f>
        <v/>
      </c>
    </row>
    <row r="149" spans="1:3">
      <c r="A149" t="str">
        <f>IF(DevCosts!B150="","",DevCosts!B150)</f>
        <v/>
      </c>
      <c r="B149" t="str">
        <f>IF(DevCosts!C150="","",DevCosts!C150)</f>
        <v/>
      </c>
      <c r="C149" s="375" t="str">
        <f>IF(DevCosts!D150="","",DevCosts!D150)</f>
        <v/>
      </c>
    </row>
    <row r="150" spans="1:3">
      <c r="A150" t="str">
        <f>IF(DevCosts!B151="","",DevCosts!B151)</f>
        <v/>
      </c>
      <c r="B150" t="str">
        <f>IF(DevCosts!C151="","",DevCosts!C151)</f>
        <v/>
      </c>
      <c r="C150" s="375" t="str">
        <f>IF(DevCosts!D151="","",DevCosts!D151)</f>
        <v/>
      </c>
    </row>
    <row r="151" spans="1:3">
      <c r="A151" t="str">
        <f>IF(DevCosts!B152="","",DevCosts!B152)</f>
        <v/>
      </c>
      <c r="B151" t="str">
        <f>IF(DevCosts!C152="","",DevCosts!C152)</f>
        <v/>
      </c>
      <c r="C151" s="375" t="str">
        <f>IF(DevCosts!D152="","",DevCosts!D152)</f>
        <v/>
      </c>
    </row>
    <row r="152" spans="1:3">
      <c r="A152" t="str">
        <f>IF(DevCosts!B153="","",DevCosts!B153)</f>
        <v/>
      </c>
      <c r="B152" t="str">
        <f>IF(DevCosts!C153="","",DevCosts!C153)</f>
        <v/>
      </c>
      <c r="C152" s="375" t="str">
        <f>IF(DevCosts!D153="","",DevCosts!D153)</f>
        <v/>
      </c>
    </row>
    <row r="153" spans="1:3">
      <c r="A153" t="str">
        <f>IF(DevCosts!B154="","",DevCosts!B154)</f>
        <v/>
      </c>
      <c r="B153" t="str">
        <f>IF(DevCosts!C154="","",DevCosts!C154)</f>
        <v/>
      </c>
      <c r="C153" s="375" t="str">
        <f>IF(DevCosts!D154="","",DevCosts!D154)</f>
        <v/>
      </c>
    </row>
    <row r="154" spans="1:3">
      <c r="A154" t="str">
        <f>IF(DevCosts!B155="","",DevCosts!B155)</f>
        <v/>
      </c>
      <c r="B154" t="str">
        <f>IF(DevCosts!C155="","",DevCosts!C155)</f>
        <v/>
      </c>
      <c r="C154" s="375" t="str">
        <f>IF(DevCosts!D155="","",DevCosts!D155)</f>
        <v/>
      </c>
    </row>
    <row r="155" spans="1:3">
      <c r="A155" t="str">
        <f>IF(DevCosts!B156="","",DevCosts!B156)</f>
        <v/>
      </c>
      <c r="B155" t="str">
        <f>IF(DevCosts!C156="","",DevCosts!C156)</f>
        <v/>
      </c>
      <c r="C155" s="375" t="str">
        <f>IF(DevCosts!D156="","",DevCosts!D156)</f>
        <v/>
      </c>
    </row>
    <row r="156" spans="1:3">
      <c r="A156" t="str">
        <f>IF(DevCosts!B157="","",DevCosts!B157)</f>
        <v/>
      </c>
      <c r="B156" t="str">
        <f>IF(DevCosts!C157="","",DevCosts!C157)</f>
        <v/>
      </c>
      <c r="C156" s="375" t="str">
        <f>IF(DevCosts!D157="","",DevCosts!D157)</f>
        <v/>
      </c>
    </row>
    <row r="157" spans="1:3">
      <c r="A157" t="str">
        <f>IF(DevCosts!B158="","",DevCosts!B158)</f>
        <v/>
      </c>
      <c r="B157" t="str">
        <f>IF(DevCosts!C158="","",DevCosts!C158)</f>
        <v/>
      </c>
      <c r="C157" s="375" t="str">
        <f>IF(DevCosts!D158="","",DevCosts!D158)</f>
        <v/>
      </c>
    </row>
    <row r="158" spans="1:3">
      <c r="A158" t="str">
        <f>IF(DevCosts!B159="","",DevCosts!B159)</f>
        <v/>
      </c>
      <c r="B158" t="str">
        <f>IF(DevCosts!C159="","",DevCosts!C159)</f>
        <v/>
      </c>
      <c r="C158" s="375" t="str">
        <f>IF(DevCosts!D159="","",DevCosts!D159)</f>
        <v/>
      </c>
    </row>
    <row r="159" spans="1:3">
      <c r="A159" t="str">
        <f>IF(DevCosts!B160="","",DevCosts!B160)</f>
        <v/>
      </c>
      <c r="B159" t="str">
        <f>IF(DevCosts!C160="","",DevCosts!C160)</f>
        <v/>
      </c>
      <c r="C159" s="375" t="str">
        <f>IF(DevCosts!D160="","",DevCosts!D160)</f>
        <v/>
      </c>
    </row>
    <row r="160" spans="1:3">
      <c r="A160" t="str">
        <f>IF(DevCosts!B161="","",DevCosts!B161)</f>
        <v/>
      </c>
      <c r="B160" t="str">
        <f>IF(DevCosts!C161="","",DevCosts!C161)</f>
        <v/>
      </c>
      <c r="C160" s="375" t="str">
        <f>IF(DevCosts!D161="","",DevCosts!D161)</f>
        <v/>
      </c>
    </row>
    <row r="161" spans="1:3">
      <c r="A161" t="str">
        <f>IF(DevCosts!B162="","",DevCosts!B162)</f>
        <v/>
      </c>
      <c r="B161" t="str">
        <f>IF(DevCosts!C162="","",DevCosts!C162)</f>
        <v/>
      </c>
      <c r="C161" s="375" t="str">
        <f>IF(DevCosts!D162="","",DevCosts!D162)</f>
        <v/>
      </c>
    </row>
    <row r="162" spans="1:3">
      <c r="A162" t="str">
        <f>IF(DevCosts!B163="","",DevCosts!B163)</f>
        <v/>
      </c>
      <c r="B162" t="str">
        <f>IF(DevCosts!C163="","",DevCosts!C163)</f>
        <v/>
      </c>
      <c r="C162" s="375" t="str">
        <f>IF(DevCosts!D163="","",DevCosts!D163)</f>
        <v/>
      </c>
    </row>
    <row r="163" spans="1:3">
      <c r="A163" t="str">
        <f>IF(DevCosts!B164="","",DevCosts!B164)</f>
        <v/>
      </c>
      <c r="B163" t="str">
        <f>IF(DevCosts!C164="","",DevCosts!C164)</f>
        <v/>
      </c>
      <c r="C163" s="375" t="str">
        <f>IF(DevCosts!D164="","",DevCosts!D164)</f>
        <v/>
      </c>
    </row>
    <row r="164" spans="1:3">
      <c r="A164" t="str">
        <f>IF(DevCosts!B165="","",DevCosts!B165)</f>
        <v/>
      </c>
      <c r="B164" t="str">
        <f>IF(DevCosts!C165="","",DevCosts!C165)</f>
        <v/>
      </c>
      <c r="C164" s="375" t="str">
        <f>IF(DevCosts!D165="","",DevCosts!D165)</f>
        <v/>
      </c>
    </row>
    <row r="165" spans="1:3">
      <c r="A165" t="str">
        <f>IF(DevCosts!B166="","",DevCosts!B166)</f>
        <v/>
      </c>
      <c r="B165" t="str">
        <f>IF(DevCosts!C166="","",DevCosts!C166)</f>
        <v/>
      </c>
      <c r="C165" s="375" t="str">
        <f>IF(DevCosts!D166="","",DevCosts!D166)</f>
        <v/>
      </c>
    </row>
    <row r="166" spans="1:3">
      <c r="A166" t="str">
        <f>IF(DevCosts!B167="","",DevCosts!B167)</f>
        <v/>
      </c>
      <c r="B166" t="str">
        <f>IF(DevCosts!C167="","",DevCosts!C167)</f>
        <v/>
      </c>
      <c r="C166" s="375" t="str">
        <f>IF(DevCosts!D167="","",DevCosts!D167)</f>
        <v/>
      </c>
    </row>
    <row r="167" spans="1:3">
      <c r="A167" t="str">
        <f>IF(DevCosts!B168="","",DevCosts!B168)</f>
        <v/>
      </c>
      <c r="B167" t="str">
        <f>IF(DevCosts!C168="","",DevCosts!C168)</f>
        <v/>
      </c>
      <c r="C167" s="375" t="str">
        <f>IF(DevCosts!D168="","",DevCosts!D168)</f>
        <v/>
      </c>
    </row>
    <row r="168" spans="1:3">
      <c r="A168" t="str">
        <f>IF(DevCosts!B169="","",DevCosts!B169)</f>
        <v/>
      </c>
      <c r="B168" t="str">
        <f>IF(DevCosts!C169="","",DevCosts!C169)</f>
        <v/>
      </c>
      <c r="C168" s="375" t="str">
        <f>IF(DevCosts!D169="","",DevCosts!D169)</f>
        <v/>
      </c>
    </row>
    <row r="169" spans="1:3">
      <c r="A169" t="str">
        <f>IF(DevCosts!B170="","",DevCosts!B170)</f>
        <v/>
      </c>
      <c r="B169" t="str">
        <f>IF(DevCosts!C170="","",DevCosts!C170)</f>
        <v/>
      </c>
      <c r="C169" s="375" t="str">
        <f>IF(DevCosts!D170="","",DevCosts!D170)</f>
        <v/>
      </c>
    </row>
    <row r="170" spans="1:3">
      <c r="A170" t="str">
        <f>IF(DevCosts!B171="","",DevCosts!B171)</f>
        <v/>
      </c>
      <c r="B170" t="str">
        <f>IF(DevCosts!C171="","",DevCosts!C171)</f>
        <v/>
      </c>
      <c r="C170" s="375" t="str">
        <f>IF(DevCosts!D171="","",DevCosts!D171)</f>
        <v/>
      </c>
    </row>
    <row r="171" spans="1:3">
      <c r="A171" t="str">
        <f>IF(DevCosts!B172="","",DevCosts!B172)</f>
        <v/>
      </c>
      <c r="B171" t="str">
        <f>IF(DevCosts!C172="","",DevCosts!C172)</f>
        <v/>
      </c>
      <c r="C171" s="375" t="str">
        <f>IF(DevCosts!D172="","",DevCosts!D172)</f>
        <v/>
      </c>
    </row>
    <row r="172" spans="1:3">
      <c r="A172" t="str">
        <f>IF(DevCosts!B173="","",DevCosts!B173)</f>
        <v/>
      </c>
      <c r="B172" t="str">
        <f>IF(DevCosts!C173="","",DevCosts!C173)</f>
        <v/>
      </c>
      <c r="C172" s="375" t="str">
        <f>IF(DevCosts!D173="","",DevCosts!D173)</f>
        <v/>
      </c>
    </row>
    <row r="173" spans="1:3">
      <c r="A173" t="str">
        <f>IF(DevCosts!B174="","",DevCosts!B174)</f>
        <v/>
      </c>
      <c r="B173" t="str">
        <f>IF(DevCosts!C174="","",DevCosts!C174)</f>
        <v/>
      </c>
      <c r="C173" s="375" t="str">
        <f>IF(DevCosts!D174="","",DevCosts!D174)</f>
        <v/>
      </c>
    </row>
    <row r="174" spans="1:3">
      <c r="A174" t="str">
        <f>IF(DevCosts!B175="","",DevCosts!B175)</f>
        <v/>
      </c>
      <c r="B174" t="str">
        <f>IF(DevCosts!C175="","",DevCosts!C175)</f>
        <v/>
      </c>
      <c r="C174" s="375" t="str">
        <f>IF(DevCosts!D175="","",DevCosts!D175)</f>
        <v/>
      </c>
    </row>
    <row r="175" spans="1:3">
      <c r="A175" t="str">
        <f>IF(DevCosts!B176="","",DevCosts!B176)</f>
        <v/>
      </c>
      <c r="B175" t="str">
        <f>IF(DevCosts!C176="","",DevCosts!C176)</f>
        <v/>
      </c>
      <c r="C175" s="375" t="str">
        <f>IF(DevCosts!D176="","",DevCosts!D176)</f>
        <v/>
      </c>
    </row>
    <row r="176" spans="1:3">
      <c r="A176" t="str">
        <f>IF(DevCosts!B177="","",DevCosts!B177)</f>
        <v/>
      </c>
      <c r="B176" t="str">
        <f>IF(DevCosts!C177="","",DevCosts!C177)</f>
        <v/>
      </c>
      <c r="C176" s="375" t="str">
        <f>IF(DevCosts!D177="","",DevCosts!D177)</f>
        <v/>
      </c>
    </row>
    <row r="177" spans="1:3">
      <c r="A177" t="str">
        <f>IF(DevCosts!B178="","",DevCosts!B178)</f>
        <v/>
      </c>
      <c r="B177" t="str">
        <f>IF(DevCosts!C178="","",DevCosts!C178)</f>
        <v/>
      </c>
      <c r="C177" s="375" t="str">
        <f>IF(DevCosts!D178="","",DevCosts!D178)</f>
        <v/>
      </c>
    </row>
    <row r="178" spans="1:3">
      <c r="A178" t="str">
        <f>IF(DevCosts!B179="","",DevCosts!B179)</f>
        <v/>
      </c>
      <c r="B178" t="str">
        <f>IF(DevCosts!C179="","",DevCosts!C179)</f>
        <v/>
      </c>
      <c r="C178" s="375" t="str">
        <f>IF(DevCosts!D179="","",DevCosts!D179)</f>
        <v/>
      </c>
    </row>
    <row r="179" spans="1:3">
      <c r="A179" t="str">
        <f>IF(DevCosts!B180="","",DevCosts!B180)</f>
        <v/>
      </c>
      <c r="B179" t="str">
        <f>IF(DevCosts!C180="","",DevCosts!C180)</f>
        <v/>
      </c>
      <c r="C179" s="375" t="str">
        <f>IF(DevCosts!D180="","",DevCosts!D180)</f>
        <v/>
      </c>
    </row>
    <row r="180" spans="1:3">
      <c r="A180" t="str">
        <f>IF(DevCosts!B181="","",DevCosts!B181)</f>
        <v/>
      </c>
      <c r="B180" t="str">
        <f>IF(DevCosts!C181="","",DevCosts!C181)</f>
        <v/>
      </c>
      <c r="C180" s="375" t="str">
        <f>IF(DevCosts!D181="","",DevCosts!D181)</f>
        <v/>
      </c>
    </row>
    <row r="181" spans="1:3">
      <c r="A181" t="str">
        <f>IF(DevCosts!B182="","",DevCosts!B182)</f>
        <v/>
      </c>
      <c r="B181" t="str">
        <f>IF(DevCosts!C182="","",DevCosts!C182)</f>
        <v/>
      </c>
      <c r="C181" s="375" t="str">
        <f>IF(DevCosts!D182="","",DevCosts!D182)</f>
        <v/>
      </c>
    </row>
    <row r="182" spans="1:3">
      <c r="A182" t="str">
        <f>IF(DevCosts!B183="","",DevCosts!B183)</f>
        <v/>
      </c>
      <c r="B182" t="str">
        <f>IF(DevCosts!C183="","",DevCosts!C183)</f>
        <v/>
      </c>
      <c r="C182" s="375" t="str">
        <f>IF(DevCosts!D183="","",DevCosts!D183)</f>
        <v/>
      </c>
    </row>
    <row r="183" spans="1:3">
      <c r="A183" t="str">
        <f>IF(DevCosts!B184="","",DevCosts!B184)</f>
        <v/>
      </c>
      <c r="B183" t="str">
        <f>IF(DevCosts!C184="","",DevCosts!C184)</f>
        <v/>
      </c>
      <c r="C183" s="375" t="str">
        <f>IF(DevCosts!D184="","",DevCosts!D184)</f>
        <v/>
      </c>
    </row>
    <row r="184" spans="1:3">
      <c r="A184" t="str">
        <f>IF(DevCosts!B185="","",DevCosts!B185)</f>
        <v/>
      </c>
      <c r="B184" t="str">
        <f>IF(DevCosts!C185="","",DevCosts!C185)</f>
        <v/>
      </c>
      <c r="C184" s="375" t="str">
        <f>IF(DevCosts!D185="","",DevCosts!D185)</f>
        <v/>
      </c>
    </row>
    <row r="185" spans="1:3">
      <c r="A185" t="str">
        <f>IF(DevCosts!B186="","",DevCosts!B186)</f>
        <v/>
      </c>
      <c r="B185" t="str">
        <f>IF(DevCosts!C186="","",DevCosts!C186)</f>
        <v/>
      </c>
      <c r="C185" s="375" t="str">
        <f>IF(DevCosts!D186="","",DevCosts!D186)</f>
        <v/>
      </c>
    </row>
    <row r="186" spans="1:3">
      <c r="A186" t="str">
        <f>IF(DevCosts!B187="","",DevCosts!B187)</f>
        <v/>
      </c>
      <c r="B186" t="str">
        <f>IF(DevCosts!C187="","",DevCosts!C187)</f>
        <v/>
      </c>
      <c r="C186" s="375" t="str">
        <f>IF(DevCosts!D187="","",DevCosts!D187)</f>
        <v/>
      </c>
    </row>
    <row r="187" spans="1:3">
      <c r="A187" t="str">
        <f>IF(DevCosts!B188="","",DevCosts!B188)</f>
        <v/>
      </c>
      <c r="B187" t="str">
        <f>IF(DevCosts!C188="","",DevCosts!C188)</f>
        <v/>
      </c>
      <c r="C187" s="375" t="str">
        <f>IF(DevCosts!D188="","",DevCosts!D188)</f>
        <v/>
      </c>
    </row>
    <row r="188" spans="1:3">
      <c r="A188" t="str">
        <f>IF(DevCosts!B189="","",DevCosts!B189)</f>
        <v/>
      </c>
      <c r="B188" t="str">
        <f>IF(DevCosts!C189="","",DevCosts!C189)</f>
        <v/>
      </c>
      <c r="C188" s="375" t="str">
        <f>IF(DevCosts!D189="","",DevCosts!D189)</f>
        <v/>
      </c>
    </row>
    <row r="189" spans="1:3">
      <c r="A189" t="str">
        <f>IF(DevCosts!B190="","",DevCosts!B190)</f>
        <v/>
      </c>
      <c r="B189" t="str">
        <f>IF(DevCosts!C190="","",DevCosts!C190)</f>
        <v/>
      </c>
      <c r="C189" s="375" t="str">
        <f>IF(DevCosts!D190="","",DevCosts!D190)</f>
        <v/>
      </c>
    </row>
    <row r="190" spans="1:3">
      <c r="A190" t="str">
        <f>IF(DevCosts!B191="","",DevCosts!B191)</f>
        <v/>
      </c>
      <c r="B190" t="str">
        <f>IF(DevCosts!C191="","",DevCosts!C191)</f>
        <v/>
      </c>
      <c r="C190" s="375" t="str">
        <f>IF(DevCosts!D191="","",DevCosts!D191)</f>
        <v/>
      </c>
    </row>
    <row r="191" spans="1:3">
      <c r="A191" t="str">
        <f>IF(DevCosts!B192="","",DevCosts!B192)</f>
        <v/>
      </c>
      <c r="B191" t="str">
        <f>IF(DevCosts!C192="","",DevCosts!C192)</f>
        <v/>
      </c>
      <c r="C191" s="375" t="str">
        <f>IF(DevCosts!D192="","",DevCosts!D192)</f>
        <v/>
      </c>
    </row>
    <row r="192" spans="1:3">
      <c r="A192" t="str">
        <f>IF(DevCosts!B193="","",DevCosts!B193)</f>
        <v/>
      </c>
      <c r="B192" t="str">
        <f>IF(DevCosts!C193="","",DevCosts!C193)</f>
        <v/>
      </c>
      <c r="C192" s="375" t="str">
        <f>IF(DevCosts!D193="","",DevCosts!D193)</f>
        <v/>
      </c>
    </row>
    <row r="193" spans="1:3">
      <c r="A193" t="str">
        <f>IF(DevCosts!B194="","",DevCosts!B194)</f>
        <v/>
      </c>
      <c r="B193" t="str">
        <f>IF(DevCosts!C194="","",DevCosts!C194)</f>
        <v/>
      </c>
      <c r="C193" s="375" t="str">
        <f>IF(DevCosts!D194="","",DevCosts!D194)</f>
        <v/>
      </c>
    </row>
    <row r="194" spans="1:3">
      <c r="A194" t="str">
        <f>IF(DevCosts!B195="","",DevCosts!B195)</f>
        <v/>
      </c>
      <c r="B194" t="str">
        <f>IF(DevCosts!C195="","",DevCosts!C195)</f>
        <v/>
      </c>
      <c r="C194" s="375" t="str">
        <f>IF(DevCosts!D195="","",DevCosts!D195)</f>
        <v/>
      </c>
    </row>
    <row r="195" spans="1:3">
      <c r="A195" t="str">
        <f>IF(DevCosts!B196="","",DevCosts!B196)</f>
        <v/>
      </c>
      <c r="B195" t="str">
        <f>IF(DevCosts!C196="","",DevCosts!C196)</f>
        <v/>
      </c>
      <c r="C195" s="375" t="str">
        <f>IF(DevCosts!D196="","",DevCosts!D196)</f>
        <v/>
      </c>
    </row>
    <row r="196" spans="1:3">
      <c r="A196" t="str">
        <f>IF(DevCosts!B197="","",DevCosts!B197)</f>
        <v/>
      </c>
      <c r="B196" t="str">
        <f>IF(DevCosts!C197="","",DevCosts!C197)</f>
        <v/>
      </c>
      <c r="C196" s="375" t="str">
        <f>IF(DevCosts!D197="","",DevCosts!D197)</f>
        <v/>
      </c>
    </row>
    <row r="197" spans="1:3">
      <c r="A197" t="str">
        <f>IF(DevCosts!B198="","",DevCosts!B198)</f>
        <v/>
      </c>
      <c r="B197" t="str">
        <f>IF(DevCosts!C198="","",DevCosts!C198)</f>
        <v/>
      </c>
      <c r="C197" s="375" t="str">
        <f>IF(DevCosts!D198="","",DevCosts!D198)</f>
        <v/>
      </c>
    </row>
    <row r="198" spans="1:3">
      <c r="A198" t="str">
        <f>IF(DevCosts!B199="","",DevCosts!B199)</f>
        <v/>
      </c>
      <c r="B198" t="str">
        <f>IF(DevCosts!C199="","",DevCosts!C199)</f>
        <v/>
      </c>
      <c r="C198" s="375" t="str">
        <f>IF(DevCosts!D199="","",DevCosts!D199)</f>
        <v/>
      </c>
    </row>
    <row r="199" spans="1:3">
      <c r="A199" t="str">
        <f>IF(DevCosts!B200="","",DevCosts!B200)</f>
        <v/>
      </c>
      <c r="B199" t="str">
        <f>IF(DevCosts!C200="","",DevCosts!C200)</f>
        <v/>
      </c>
      <c r="C199" s="375" t="str">
        <f>IF(DevCosts!D200="","",DevCosts!D200)</f>
        <v/>
      </c>
    </row>
    <row r="200" spans="1:3">
      <c r="A200" t="str">
        <f>IF(DevCosts!B201="","",DevCosts!B201)</f>
        <v/>
      </c>
      <c r="B200" t="str">
        <f>IF(DevCosts!C201="","",DevCosts!C201)</f>
        <v/>
      </c>
      <c r="C200" s="375" t="str">
        <f>IF(DevCosts!D201="","",DevCosts!D201)</f>
        <v/>
      </c>
    </row>
    <row r="201" spans="1:3">
      <c r="A201" t="str">
        <f>IF(DevCosts!B202="","",DevCosts!B202)</f>
        <v/>
      </c>
      <c r="B201" t="str">
        <f>IF(DevCosts!C202="","",DevCosts!C202)</f>
        <v/>
      </c>
      <c r="C201" s="375" t="str">
        <f>IF(DevCosts!D202="","",DevCosts!D202)</f>
        <v/>
      </c>
    </row>
    <row r="202" spans="1:3">
      <c r="A202" t="str">
        <f>IF(DevCosts!B203="","",DevCosts!B203)</f>
        <v/>
      </c>
      <c r="B202" t="str">
        <f>IF(DevCosts!C203="","",DevCosts!C203)</f>
        <v/>
      </c>
      <c r="C202" s="375" t="str">
        <f>IF(DevCosts!D203="","",DevCosts!D203)</f>
        <v/>
      </c>
    </row>
    <row r="203" spans="1:3">
      <c r="A203" t="str">
        <f>IF(DevCosts!B204="","",DevCosts!B204)</f>
        <v/>
      </c>
      <c r="B203" t="str">
        <f>IF(DevCosts!C204="","",DevCosts!C204)</f>
        <v/>
      </c>
      <c r="C203" s="375" t="str">
        <f>IF(DevCosts!D204="","",DevCosts!D204)</f>
        <v/>
      </c>
    </row>
    <row r="204" spans="1:3">
      <c r="A204" t="str">
        <f>IF(DevCosts!B205="","",DevCosts!B205)</f>
        <v/>
      </c>
      <c r="B204" t="str">
        <f>IF(DevCosts!C205="","",DevCosts!C205)</f>
        <v/>
      </c>
      <c r="C204" s="375" t="str">
        <f>IF(DevCosts!D205="","",DevCosts!D205)</f>
        <v/>
      </c>
    </row>
    <row r="205" spans="1:3">
      <c r="A205" t="str">
        <f>IF(DevCosts!B206="","",DevCosts!B206)</f>
        <v/>
      </c>
      <c r="B205" t="str">
        <f>IF(DevCosts!C206="","",DevCosts!C206)</f>
        <v/>
      </c>
      <c r="C205" s="375" t="str">
        <f>IF(DevCosts!D206="","",DevCosts!D206)</f>
        <v/>
      </c>
    </row>
    <row r="206" spans="1:3">
      <c r="A206" t="str">
        <f>IF(DevCosts!B207="","",DevCosts!B207)</f>
        <v/>
      </c>
      <c r="B206" t="str">
        <f>IF(DevCosts!C207="","",DevCosts!C207)</f>
        <v/>
      </c>
      <c r="C206" s="375" t="str">
        <f>IF(DevCosts!D207="","",DevCosts!D207)</f>
        <v/>
      </c>
    </row>
    <row r="207" spans="1:3">
      <c r="A207" t="str">
        <f>IF(DevCosts!B208="","",DevCosts!B208)</f>
        <v/>
      </c>
      <c r="B207" t="str">
        <f>IF(DevCosts!C208="","",DevCosts!C208)</f>
        <v/>
      </c>
      <c r="C207" s="375" t="str">
        <f>IF(DevCosts!D208="","",DevCosts!D208)</f>
        <v/>
      </c>
    </row>
    <row r="208" spans="1:3">
      <c r="A208" t="str">
        <f>IF(DevCosts!B209="","",DevCosts!B209)</f>
        <v/>
      </c>
      <c r="B208" t="str">
        <f>IF(DevCosts!C209="","",DevCosts!C209)</f>
        <v/>
      </c>
      <c r="C208" s="375" t="str">
        <f>IF(DevCosts!D209="","",DevCosts!D209)</f>
        <v/>
      </c>
    </row>
    <row r="209" spans="1:3">
      <c r="A209" t="str">
        <f>IF(DevCosts!B210="","",DevCosts!B210)</f>
        <v/>
      </c>
      <c r="B209" t="str">
        <f>IF(DevCosts!C210="","",DevCosts!C210)</f>
        <v/>
      </c>
      <c r="C209" s="375" t="str">
        <f>IF(DevCosts!D210="","",DevCosts!D210)</f>
        <v/>
      </c>
    </row>
    <row r="210" spans="1:3">
      <c r="A210" t="str">
        <f>IF(DevCosts!B211="","",DevCosts!B211)</f>
        <v/>
      </c>
      <c r="B210" t="str">
        <f>IF(DevCosts!C211="","",DevCosts!C211)</f>
        <v/>
      </c>
      <c r="C210" s="375" t="str">
        <f>IF(DevCosts!D211="","",DevCosts!D211)</f>
        <v/>
      </c>
    </row>
    <row r="211" spans="1:3">
      <c r="A211" t="str">
        <f>IF(DevCosts!B212="","",DevCosts!B212)</f>
        <v/>
      </c>
      <c r="B211" t="str">
        <f>IF(DevCosts!C212="","",DevCosts!C212)</f>
        <v/>
      </c>
      <c r="C211" s="375" t="str">
        <f>IF(DevCosts!D212="","",DevCosts!D212)</f>
        <v/>
      </c>
    </row>
    <row r="212" spans="1:3">
      <c r="A212" t="str">
        <f>IF(DevCosts!B213="","",DevCosts!B213)</f>
        <v/>
      </c>
      <c r="B212" t="str">
        <f>IF(DevCosts!C213="","",DevCosts!C213)</f>
        <v/>
      </c>
      <c r="C212" s="375" t="str">
        <f>IF(DevCosts!D213="","",DevCosts!D213)</f>
        <v/>
      </c>
    </row>
    <row r="213" spans="1:3">
      <c r="A213" t="str">
        <f>IF(DevCosts!B214="","",DevCosts!B214)</f>
        <v/>
      </c>
      <c r="B213" t="str">
        <f>IF(DevCosts!C214="","",DevCosts!C214)</f>
        <v/>
      </c>
      <c r="C213" s="375" t="str">
        <f>IF(DevCosts!D214="","",DevCosts!D214)</f>
        <v/>
      </c>
    </row>
    <row r="214" spans="1:3">
      <c r="A214" t="str">
        <f>IF(DevCosts!B215="","",DevCosts!B215)</f>
        <v/>
      </c>
      <c r="B214" t="str">
        <f>IF(DevCosts!C215="","",DevCosts!C215)</f>
        <v/>
      </c>
      <c r="C214" s="375" t="str">
        <f>IF(DevCosts!D215="","",DevCosts!D215)</f>
        <v/>
      </c>
    </row>
    <row r="215" spans="1:3">
      <c r="A215" t="str">
        <f>IF(DevCosts!B216="","",DevCosts!B216)</f>
        <v/>
      </c>
      <c r="B215" t="str">
        <f>IF(DevCosts!C216="","",DevCosts!C216)</f>
        <v/>
      </c>
      <c r="C215" s="375" t="str">
        <f>IF(DevCosts!D216="","",DevCosts!D216)</f>
        <v/>
      </c>
    </row>
    <row r="216" spans="1:3">
      <c r="A216" t="str">
        <f>IF(DevCosts!B217="","",DevCosts!B217)</f>
        <v/>
      </c>
      <c r="B216" t="str">
        <f>IF(DevCosts!C217="","",DevCosts!C217)</f>
        <v/>
      </c>
      <c r="C216" s="375" t="str">
        <f>IF(DevCosts!D217="","",DevCosts!D217)</f>
        <v/>
      </c>
    </row>
    <row r="217" spans="1:3">
      <c r="A217" t="str">
        <f>IF(DevCosts!B218="","",DevCosts!B218)</f>
        <v/>
      </c>
      <c r="B217" t="str">
        <f>IF(DevCosts!C218="","",DevCosts!C218)</f>
        <v/>
      </c>
      <c r="C217" s="375" t="str">
        <f>IF(DevCosts!D218="","",DevCosts!D218)</f>
        <v/>
      </c>
    </row>
    <row r="218" spans="1:3">
      <c r="A218" t="str">
        <f>IF(DevCosts!B219="","",DevCosts!B219)</f>
        <v/>
      </c>
      <c r="B218" t="str">
        <f>IF(DevCosts!C219="","",DevCosts!C219)</f>
        <v/>
      </c>
      <c r="C218" s="375" t="str">
        <f>IF(DevCosts!D219="","",DevCosts!D219)</f>
        <v/>
      </c>
    </row>
    <row r="219" spans="1:3">
      <c r="A219" t="str">
        <f>IF(DevCosts!B220="","",DevCosts!B220)</f>
        <v/>
      </c>
      <c r="B219" t="str">
        <f>IF(DevCosts!C220="","",DevCosts!C220)</f>
        <v/>
      </c>
      <c r="C219" s="375" t="str">
        <f>IF(DevCosts!D220="","",DevCosts!D220)</f>
        <v/>
      </c>
    </row>
    <row r="220" spans="1:3">
      <c r="A220" t="str">
        <f>IF(DevCosts!B221="","",DevCosts!B221)</f>
        <v/>
      </c>
      <c r="B220" t="str">
        <f>IF(DevCosts!C221="","",DevCosts!C221)</f>
        <v/>
      </c>
      <c r="C220" s="375" t="str">
        <f>IF(DevCosts!D221="","",DevCosts!D221)</f>
        <v/>
      </c>
    </row>
    <row r="221" spans="1:3">
      <c r="A221" t="str">
        <f>IF(DevCosts!B222="","",DevCosts!B222)</f>
        <v/>
      </c>
      <c r="B221" t="str">
        <f>IF(DevCosts!C222="","",DevCosts!C222)</f>
        <v/>
      </c>
      <c r="C221" s="375" t="str">
        <f>IF(DevCosts!D222="","",DevCosts!D222)</f>
        <v/>
      </c>
    </row>
    <row r="222" spans="1:3">
      <c r="A222" t="str">
        <f>IF(DevCosts!B223="","",DevCosts!B223)</f>
        <v/>
      </c>
      <c r="B222" t="str">
        <f>IF(DevCosts!C223="","",DevCosts!C223)</f>
        <v/>
      </c>
      <c r="C222" s="375" t="str">
        <f>IF(DevCosts!D223="","",DevCosts!D223)</f>
        <v/>
      </c>
    </row>
    <row r="223" spans="1:3">
      <c r="A223" t="str">
        <f>IF(DevCosts!B224="","",DevCosts!B224)</f>
        <v/>
      </c>
      <c r="B223" t="str">
        <f>IF(DevCosts!C224="","",DevCosts!C224)</f>
        <v/>
      </c>
      <c r="C223" s="375" t="str">
        <f>IF(DevCosts!D224="","",DevCosts!D224)</f>
        <v/>
      </c>
    </row>
    <row r="224" spans="1:3">
      <c r="A224" t="str">
        <f>IF(DevCosts!B225="","",DevCosts!B225)</f>
        <v/>
      </c>
      <c r="B224" t="str">
        <f>IF(DevCosts!C225="","",DevCosts!C225)</f>
        <v/>
      </c>
      <c r="C224" s="375" t="str">
        <f>IF(DevCosts!D225="","",DevCosts!D225)</f>
        <v/>
      </c>
    </row>
    <row r="225" spans="1:3">
      <c r="A225" t="str">
        <f>IF(DevCosts!B226="","",DevCosts!B226)</f>
        <v/>
      </c>
      <c r="B225" t="str">
        <f>IF(DevCosts!C226="","",DevCosts!C226)</f>
        <v/>
      </c>
      <c r="C225" s="375" t="str">
        <f>IF(DevCosts!D226="","",DevCosts!D226)</f>
        <v/>
      </c>
    </row>
    <row r="226" spans="1:3">
      <c r="C226" s="375" t="str">
        <f>IF(DevCosts!D227="","",DevCosts!D227)</f>
        <v/>
      </c>
    </row>
    <row r="227" spans="1:3">
      <c r="C227" s="375" t="str">
        <f>IF(DevCosts!D228="","",DevCosts!D228)</f>
        <v/>
      </c>
    </row>
    <row r="228" spans="1:3">
      <c r="C228" s="375" t="str">
        <f>IF(DevCosts!D229="","",DevCosts!D229)</f>
        <v/>
      </c>
    </row>
    <row r="229" spans="1:3">
      <c r="C229" s="375" t="str">
        <f>IF(DevCosts!D230="","",DevCosts!D230)</f>
        <v/>
      </c>
    </row>
    <row r="230" spans="1:3">
      <c r="C230" s="375" t="str">
        <f>IF(DevCosts!D231="","",DevCosts!D231)</f>
        <v/>
      </c>
    </row>
    <row r="231" spans="1:3">
      <c r="C231" s="375" t="str">
        <f>IF(DevCosts!D232="","",DevCosts!D232)</f>
        <v/>
      </c>
    </row>
    <row r="232" spans="1:3">
      <c r="C232" s="375" t="str">
        <f>IF(DevCosts!D233="","",DevCosts!D233)</f>
        <v/>
      </c>
    </row>
    <row r="233" spans="1:3">
      <c r="C233" s="375" t="str">
        <f>IF(DevCosts!D234="","",DevCosts!D234)</f>
        <v/>
      </c>
    </row>
    <row r="234" spans="1:3">
      <c r="C234" s="375" t="str">
        <f>IF(DevCosts!D235="","",DevCosts!D235)</f>
        <v/>
      </c>
    </row>
    <row r="235" spans="1:3">
      <c r="C235" s="375" t="str">
        <f>IF(DevCosts!D236="","",DevCosts!D236)</f>
        <v/>
      </c>
    </row>
    <row r="236" spans="1:3">
      <c r="C236" s="375" t="str">
        <f>IF(DevCosts!D237="","",DevCosts!D237)</f>
        <v/>
      </c>
    </row>
    <row r="237" spans="1:3">
      <c r="C237" s="375" t="str">
        <f>IF(DevCosts!D238="","",DevCosts!D238)</f>
        <v/>
      </c>
    </row>
    <row r="238" spans="1:3">
      <c r="C238" s="375" t="str">
        <f>IF(DevCosts!D239="","",DevCosts!D239)</f>
        <v/>
      </c>
    </row>
    <row r="239" spans="1:3">
      <c r="C239" s="375" t="str">
        <f>IF(DevCosts!D240="","",DevCosts!D240)</f>
        <v/>
      </c>
    </row>
    <row r="240" spans="1:3">
      <c r="C240" s="375" t="str">
        <f>IF(DevCosts!D241="","",DevCosts!D241)</f>
        <v/>
      </c>
    </row>
    <row r="241" spans="3:3">
      <c r="C241" s="375" t="str">
        <f>IF(DevCosts!D242="","",DevCosts!D242)</f>
        <v/>
      </c>
    </row>
    <row r="242" spans="3:3">
      <c r="C242" s="375" t="str">
        <f>IF(DevCosts!D243="","",DevCosts!D243)</f>
        <v/>
      </c>
    </row>
    <row r="243" spans="3:3">
      <c r="C243" s="375" t="str">
        <f>IF(DevCosts!D244="","",DevCosts!D244)</f>
        <v/>
      </c>
    </row>
    <row r="244" spans="3:3">
      <c r="C244" s="375" t="str">
        <f>IF(DevCosts!D245="","",DevCosts!D245)</f>
        <v/>
      </c>
    </row>
    <row r="245" spans="3:3">
      <c r="C245" s="375" t="str">
        <f>IF(DevCosts!D246="","",DevCosts!D246)</f>
        <v/>
      </c>
    </row>
    <row r="246" spans="3:3">
      <c r="C246" s="375" t="str">
        <f>IF(DevCosts!D247="","",DevCosts!D247)</f>
        <v/>
      </c>
    </row>
    <row r="247" spans="3:3">
      <c r="C247" s="375" t="str">
        <f>IF(DevCosts!D248="","",DevCosts!D248)</f>
        <v/>
      </c>
    </row>
    <row r="248" spans="3:3">
      <c r="C248" s="375" t="str">
        <f>IF(DevCosts!D249="","",DevCosts!D249)</f>
        <v/>
      </c>
    </row>
    <row r="249" spans="3:3">
      <c r="C249" s="375" t="str">
        <f>IF(DevCosts!D250="","",DevCosts!D250)</f>
        <v/>
      </c>
    </row>
    <row r="250" spans="3:3">
      <c r="C250" s="375" t="str">
        <f>IF(DevCosts!D251="","",DevCosts!D251)</f>
        <v/>
      </c>
    </row>
    <row r="251" spans="3:3">
      <c r="C251" s="375" t="str">
        <f>IF(DevCosts!D252="","",DevCosts!D252)</f>
        <v/>
      </c>
    </row>
    <row r="252" spans="3:3">
      <c r="C252" s="375" t="str">
        <f>IF(DevCosts!D253="","",DevCosts!D253)</f>
        <v/>
      </c>
    </row>
    <row r="253" spans="3:3">
      <c r="C253" s="375" t="str">
        <f>IF(DevCosts!D254="","",DevCosts!D254)</f>
        <v/>
      </c>
    </row>
    <row r="254" spans="3:3">
      <c r="C254" s="375" t="str">
        <f>IF(DevCosts!D255="","",DevCosts!D255)</f>
        <v/>
      </c>
    </row>
    <row r="255" spans="3:3">
      <c r="C255" s="375" t="str">
        <f>IF(DevCosts!D256="","",DevCosts!D256)</f>
        <v/>
      </c>
    </row>
    <row r="256" spans="3:3">
      <c r="C256" s="375" t="str">
        <f>IF(DevCosts!D257="","",DevCosts!D257)</f>
        <v/>
      </c>
    </row>
    <row r="257" spans="3:3">
      <c r="C257" s="375" t="str">
        <f>IF(DevCosts!D258="","",DevCosts!D258)</f>
        <v/>
      </c>
    </row>
    <row r="258" spans="3:3">
      <c r="C258" s="375" t="str">
        <f>IF(DevCosts!D259="","",DevCosts!D259)</f>
        <v/>
      </c>
    </row>
    <row r="259" spans="3:3">
      <c r="C259" s="375" t="str">
        <f>IF(DevCosts!D260="","",DevCosts!D260)</f>
        <v/>
      </c>
    </row>
    <row r="260" spans="3:3">
      <c r="C260" s="375" t="str">
        <f>IF(DevCosts!D261="","",DevCosts!D261)</f>
        <v/>
      </c>
    </row>
    <row r="261" spans="3:3">
      <c r="C261" s="375" t="str">
        <f>IF(DevCosts!D262="","",DevCosts!D262)</f>
        <v/>
      </c>
    </row>
    <row r="262" spans="3:3">
      <c r="C262" s="375" t="str">
        <f>IF(DevCosts!D263="","",DevCosts!D263)</f>
        <v/>
      </c>
    </row>
    <row r="263" spans="3:3">
      <c r="C263" s="375" t="str">
        <f>IF(DevCosts!D264="","",DevCosts!D264)</f>
        <v/>
      </c>
    </row>
    <row r="264" spans="3:3">
      <c r="C264" s="375" t="str">
        <f>IF(DevCosts!D265="","",DevCosts!D265)</f>
        <v/>
      </c>
    </row>
    <row r="265" spans="3:3">
      <c r="C265" s="375" t="str">
        <f>IF(DevCosts!D266="","",DevCosts!D266)</f>
        <v/>
      </c>
    </row>
    <row r="266" spans="3:3">
      <c r="C266" s="375" t="str">
        <f>IF(DevCosts!D267="","",DevCosts!D267)</f>
        <v/>
      </c>
    </row>
    <row r="267" spans="3:3">
      <c r="C267" s="375" t="str">
        <f>IF(DevCosts!D268="","",DevCosts!D268)</f>
        <v/>
      </c>
    </row>
    <row r="268" spans="3:3">
      <c r="C268" s="375" t="str">
        <f>IF(DevCosts!D269="","",DevCosts!D269)</f>
        <v/>
      </c>
    </row>
    <row r="269" spans="3:3">
      <c r="C269" s="375" t="str">
        <f>IF(DevCosts!D270="","",DevCosts!D270)</f>
        <v/>
      </c>
    </row>
    <row r="270" spans="3:3">
      <c r="C270" s="375" t="str">
        <f>IF(DevCosts!D271="","",DevCosts!D271)</f>
        <v/>
      </c>
    </row>
    <row r="271" spans="3:3">
      <c r="C271" s="375" t="str">
        <f>IF(DevCosts!D272="","",DevCosts!D272)</f>
        <v/>
      </c>
    </row>
    <row r="272" spans="3:3">
      <c r="C272" s="375" t="str">
        <f>IF(DevCosts!D273="","",DevCosts!D273)</f>
        <v/>
      </c>
    </row>
    <row r="273" spans="3:3">
      <c r="C273" s="375" t="str">
        <f>IF(DevCosts!D274="","",DevCosts!D274)</f>
        <v/>
      </c>
    </row>
    <row r="274" spans="3:3">
      <c r="C274" s="375" t="str">
        <f>IF(DevCosts!D275="","",DevCosts!D275)</f>
        <v/>
      </c>
    </row>
    <row r="275" spans="3:3">
      <c r="C275" s="375" t="str">
        <f>IF(DevCosts!D276="","",DevCosts!D276)</f>
        <v/>
      </c>
    </row>
    <row r="276" spans="3:3">
      <c r="C276" s="375" t="str">
        <f>IF(DevCosts!D277="","",DevCosts!D277)</f>
        <v/>
      </c>
    </row>
    <row r="277" spans="3:3">
      <c r="C277" s="375" t="str">
        <f>IF(DevCosts!D278="","",DevCosts!D278)</f>
        <v/>
      </c>
    </row>
    <row r="278" spans="3:3">
      <c r="C278" s="375" t="str">
        <f>IF(DevCosts!D279="","",DevCosts!D279)</f>
        <v/>
      </c>
    </row>
    <row r="279" spans="3:3">
      <c r="C279" s="375" t="str">
        <f>IF(DevCosts!D280="","",DevCosts!D280)</f>
        <v/>
      </c>
    </row>
    <row r="280" spans="3:3">
      <c r="C280" s="375" t="str">
        <f>IF(DevCosts!D281="","",DevCosts!D281)</f>
        <v/>
      </c>
    </row>
    <row r="281" spans="3:3">
      <c r="C281" s="375" t="str">
        <f>IF(DevCosts!D282="","",DevCosts!D282)</f>
        <v/>
      </c>
    </row>
    <row r="282" spans="3:3">
      <c r="C282" s="375" t="str">
        <f>IF(DevCosts!D283="","",DevCosts!D283)</f>
        <v/>
      </c>
    </row>
    <row r="283" spans="3:3">
      <c r="C283" s="375" t="str">
        <f>IF(DevCosts!D284="","",DevCosts!D284)</f>
        <v/>
      </c>
    </row>
    <row r="284" spans="3:3">
      <c r="C284" s="375" t="str">
        <f>IF(DevCosts!D285="","",DevCosts!D285)</f>
        <v/>
      </c>
    </row>
    <row r="285" spans="3:3">
      <c r="C285" s="375" t="str">
        <f>IF(DevCosts!D286="","",DevCosts!D286)</f>
        <v/>
      </c>
    </row>
    <row r="286" spans="3:3">
      <c r="C286" s="375" t="str">
        <f>IF(DevCosts!D287="","",DevCosts!D287)</f>
        <v/>
      </c>
    </row>
    <row r="287" spans="3:3">
      <c r="C287" s="375" t="str">
        <f>IF(DevCosts!D288="","",DevCosts!D288)</f>
        <v/>
      </c>
    </row>
    <row r="288" spans="3:3">
      <c r="C288" s="375" t="str">
        <f>IF(DevCosts!D289="","",DevCosts!D289)</f>
        <v/>
      </c>
    </row>
    <row r="289" spans="3:3">
      <c r="C289" s="375" t="str">
        <f>IF(DevCosts!D290="","",DevCosts!D290)</f>
        <v/>
      </c>
    </row>
    <row r="290" spans="3:3">
      <c r="C290" s="375" t="str">
        <f>IF(DevCosts!D291="","",DevCosts!D291)</f>
        <v/>
      </c>
    </row>
    <row r="291" spans="3:3">
      <c r="C291" s="375" t="str">
        <f>IF(DevCosts!D292="","",DevCosts!D292)</f>
        <v/>
      </c>
    </row>
    <row r="292" spans="3:3">
      <c r="C292" s="375" t="str">
        <f>IF(DevCosts!D293="","",DevCosts!D293)</f>
        <v/>
      </c>
    </row>
    <row r="293" spans="3:3">
      <c r="C293" s="375" t="str">
        <f>IF(DevCosts!D294="","",DevCosts!D294)</f>
        <v/>
      </c>
    </row>
    <row r="294" spans="3:3">
      <c r="C294" s="375" t="str">
        <f>IF(DevCosts!D295="","",DevCosts!D295)</f>
        <v/>
      </c>
    </row>
    <row r="295" spans="3:3">
      <c r="C295" s="375" t="str">
        <f>IF(DevCosts!D296="","",DevCosts!D296)</f>
        <v/>
      </c>
    </row>
    <row r="296" spans="3:3">
      <c r="C296" s="375" t="str">
        <f>IF(DevCosts!D297="","",DevCosts!D297)</f>
        <v/>
      </c>
    </row>
    <row r="297" spans="3:3">
      <c r="C297" s="375" t="str">
        <f>IF(DevCosts!D298="","",DevCosts!D298)</f>
        <v/>
      </c>
    </row>
    <row r="298" spans="3:3">
      <c r="C298" s="375" t="str">
        <f>IF(DevCosts!D299="","",DevCosts!D299)</f>
        <v/>
      </c>
    </row>
    <row r="299" spans="3:3">
      <c r="C299" s="375" t="str">
        <f>IF(DevCosts!D300="","",DevCosts!D300)</f>
        <v/>
      </c>
    </row>
    <row r="300" spans="3:3">
      <c r="C300" s="375" t="str">
        <f>IF(DevCosts!D301="","",DevCosts!D301)</f>
        <v/>
      </c>
    </row>
    <row r="301" spans="3:3">
      <c r="C301" s="375" t="str">
        <f>IF(DevCosts!D302="","",DevCosts!D302)</f>
        <v/>
      </c>
    </row>
    <row r="302" spans="3:3">
      <c r="C302" s="375" t="str">
        <f>IF(DevCosts!D303="","",DevCosts!D303)</f>
        <v/>
      </c>
    </row>
    <row r="303" spans="3:3">
      <c r="C303" s="375" t="str">
        <f>IF(DevCosts!D304="","",DevCosts!D304)</f>
        <v/>
      </c>
    </row>
    <row r="304" spans="3:3">
      <c r="C304" s="375" t="str">
        <f>IF(DevCosts!D305="","",DevCosts!D305)</f>
        <v/>
      </c>
    </row>
    <row r="305" spans="3:3">
      <c r="C305" s="375" t="str">
        <f>IF(DevCosts!D306="","",DevCosts!D306)</f>
        <v/>
      </c>
    </row>
    <row r="306" spans="3:3">
      <c r="C306" s="375" t="str">
        <f>IF(DevCosts!D307="","",DevCosts!D307)</f>
        <v/>
      </c>
    </row>
    <row r="307" spans="3:3">
      <c r="C307" s="375" t="str">
        <f>IF(DevCosts!D308="","",DevCosts!D308)</f>
        <v/>
      </c>
    </row>
    <row r="308" spans="3:3">
      <c r="C308" s="375" t="str">
        <f>IF(DevCosts!D309="","",DevCosts!D309)</f>
        <v/>
      </c>
    </row>
    <row r="309" spans="3:3">
      <c r="C309" s="375" t="str">
        <f>IF(DevCosts!D310="","",DevCosts!D310)</f>
        <v/>
      </c>
    </row>
    <row r="310" spans="3:3">
      <c r="C310" s="375" t="str">
        <f>IF(DevCosts!D311="","",DevCosts!D311)</f>
        <v/>
      </c>
    </row>
    <row r="311" spans="3:3">
      <c r="C311" s="375" t="str">
        <f>IF(DevCosts!D312="","",DevCosts!D312)</f>
        <v/>
      </c>
    </row>
    <row r="312" spans="3:3">
      <c r="C312" s="375" t="str">
        <f>IF(DevCosts!D313="","",DevCosts!D313)</f>
        <v/>
      </c>
    </row>
    <row r="313" spans="3:3">
      <c r="C313" s="375" t="str">
        <f>IF(DevCosts!D314="","",DevCosts!D314)</f>
        <v/>
      </c>
    </row>
    <row r="314" spans="3:3">
      <c r="C314" s="375" t="str">
        <f>IF(DevCosts!D315="","",DevCosts!D315)</f>
        <v/>
      </c>
    </row>
    <row r="315" spans="3:3">
      <c r="C315" s="375" t="str">
        <f>IF(DevCosts!D316="","",DevCosts!D316)</f>
        <v/>
      </c>
    </row>
    <row r="316" spans="3:3">
      <c r="C316" s="375" t="str">
        <f>IF(DevCosts!D317="","",DevCosts!D317)</f>
        <v/>
      </c>
    </row>
    <row r="317" spans="3:3">
      <c r="C317" s="375" t="str">
        <f>IF(DevCosts!D318="","",DevCosts!D318)</f>
        <v/>
      </c>
    </row>
    <row r="318" spans="3:3">
      <c r="C318" s="375" t="str">
        <f>IF(DevCosts!D319="","",DevCosts!D319)</f>
        <v/>
      </c>
    </row>
    <row r="319" spans="3:3">
      <c r="C319" s="375" t="str">
        <f>IF(DevCosts!D320="","",DevCosts!D320)</f>
        <v/>
      </c>
    </row>
    <row r="320" spans="3:3">
      <c r="C320" s="375" t="str">
        <f>IF(DevCosts!D321="","",DevCosts!D321)</f>
        <v/>
      </c>
    </row>
    <row r="321" spans="3:3">
      <c r="C321" s="375" t="str">
        <f>IF(DevCosts!D322="","",DevCosts!D322)</f>
        <v/>
      </c>
    </row>
    <row r="322" spans="3:3">
      <c r="C322" s="375" t="str">
        <f>IF(DevCosts!D323="","",DevCosts!D323)</f>
        <v/>
      </c>
    </row>
    <row r="323" spans="3:3">
      <c r="C323" s="375" t="str">
        <f>IF(DevCosts!D324="","",DevCosts!D324)</f>
        <v/>
      </c>
    </row>
    <row r="324" spans="3:3">
      <c r="C324" s="375" t="str">
        <f>IF(DevCosts!D325="","",DevCosts!D325)</f>
        <v/>
      </c>
    </row>
    <row r="325" spans="3:3">
      <c r="C325" s="375" t="str">
        <f>IF(DevCosts!D326="","",DevCosts!D326)</f>
        <v/>
      </c>
    </row>
    <row r="326" spans="3:3">
      <c r="C326" s="375" t="str">
        <f>IF(DevCosts!D327="","",DevCosts!D327)</f>
        <v/>
      </c>
    </row>
    <row r="327" spans="3:3">
      <c r="C327" s="375" t="str">
        <f>IF(DevCosts!D328="","",DevCosts!D328)</f>
        <v/>
      </c>
    </row>
    <row r="328" spans="3:3">
      <c r="C328" s="375" t="str">
        <f>IF(DevCosts!D329="","",DevCosts!D329)</f>
        <v/>
      </c>
    </row>
    <row r="329" spans="3:3">
      <c r="C329" s="375" t="str">
        <f>IF(DevCosts!D330="","",DevCosts!D330)</f>
        <v/>
      </c>
    </row>
    <row r="330" spans="3:3">
      <c r="C330" s="375" t="str">
        <f>IF(DevCosts!D331="","",DevCosts!D331)</f>
        <v/>
      </c>
    </row>
    <row r="331" spans="3:3">
      <c r="C331" s="375" t="str">
        <f>IF(DevCosts!D332="","",DevCosts!D332)</f>
        <v/>
      </c>
    </row>
    <row r="332" spans="3:3">
      <c r="C332" s="375" t="str">
        <f>IF(DevCosts!D333="","",DevCosts!D333)</f>
        <v/>
      </c>
    </row>
    <row r="333" spans="3:3">
      <c r="C333" s="375" t="str">
        <f>IF(DevCosts!D334="","",DevCosts!D334)</f>
        <v/>
      </c>
    </row>
    <row r="334" spans="3:3">
      <c r="C334" s="375" t="str">
        <f>IF(DevCosts!D335="","",DevCosts!D335)</f>
        <v/>
      </c>
    </row>
    <row r="335" spans="3:3">
      <c r="C335" s="375" t="str">
        <f>IF(DevCosts!D336="","",DevCosts!D336)</f>
        <v/>
      </c>
    </row>
    <row r="336" spans="3:3">
      <c r="C336" s="375" t="str">
        <f>IF(DevCosts!D337="","",DevCosts!D337)</f>
        <v/>
      </c>
    </row>
    <row r="337" spans="3:3">
      <c r="C337" s="375" t="str">
        <f>IF(DevCosts!D338="","",DevCosts!D338)</f>
        <v/>
      </c>
    </row>
    <row r="338" spans="3:3">
      <c r="C338" s="375" t="str">
        <f>IF(DevCosts!D339="","",DevCosts!D339)</f>
        <v/>
      </c>
    </row>
    <row r="339" spans="3:3">
      <c r="C339" s="375" t="str">
        <f>IF(DevCosts!D340="","",DevCosts!D340)</f>
        <v/>
      </c>
    </row>
    <row r="340" spans="3:3">
      <c r="C340" s="375" t="str">
        <f>IF(DevCosts!D341="","",DevCosts!D341)</f>
        <v/>
      </c>
    </row>
    <row r="341" spans="3:3">
      <c r="C341" s="375" t="str">
        <f>IF(DevCosts!D342="","",DevCosts!D342)</f>
        <v/>
      </c>
    </row>
    <row r="342" spans="3:3">
      <c r="C342" s="375" t="str">
        <f>IF(DevCosts!D343="","",DevCosts!D343)</f>
        <v/>
      </c>
    </row>
    <row r="343" spans="3:3">
      <c r="C343" s="375" t="str">
        <f>IF(DevCosts!D344="","",DevCosts!D344)</f>
        <v/>
      </c>
    </row>
    <row r="344" spans="3:3">
      <c r="C344" s="375" t="str">
        <f>IF(DevCosts!D345="","",DevCosts!D345)</f>
        <v/>
      </c>
    </row>
    <row r="345" spans="3:3">
      <c r="C345" s="375" t="str">
        <f>IF(DevCosts!D346="","",DevCosts!D346)</f>
        <v/>
      </c>
    </row>
    <row r="346" spans="3:3">
      <c r="C346" s="375" t="str">
        <f>IF(DevCosts!D347="","",DevCosts!D347)</f>
        <v/>
      </c>
    </row>
    <row r="347" spans="3:3">
      <c r="C347" s="375" t="str">
        <f>IF(DevCosts!D348="","",DevCosts!D348)</f>
        <v/>
      </c>
    </row>
    <row r="348" spans="3:3">
      <c r="C348" s="375" t="str">
        <f>IF(DevCosts!D349="","",DevCosts!D349)</f>
        <v/>
      </c>
    </row>
    <row r="349" spans="3:3">
      <c r="C349" s="375" t="str">
        <f>IF(DevCosts!D350="","",DevCosts!D350)</f>
        <v/>
      </c>
    </row>
    <row r="350" spans="3:3">
      <c r="C350" s="375" t="str">
        <f>IF(DevCosts!D351="","",DevCosts!D351)</f>
        <v/>
      </c>
    </row>
    <row r="351" spans="3:3">
      <c r="C351" s="375" t="str">
        <f>IF(DevCosts!D352="","",DevCosts!D352)</f>
        <v/>
      </c>
    </row>
    <row r="352" spans="3:3">
      <c r="C352" s="375" t="str">
        <f>IF(DevCosts!D353="","",DevCosts!D353)</f>
        <v/>
      </c>
    </row>
    <row r="353" spans="3:3">
      <c r="C353" s="375" t="str">
        <f>IF(DevCosts!D354="","",DevCosts!D354)</f>
        <v/>
      </c>
    </row>
    <row r="354" spans="3:3">
      <c r="C354" s="375" t="str">
        <f>IF(DevCosts!D355="","",DevCosts!D355)</f>
        <v/>
      </c>
    </row>
    <row r="355" spans="3:3">
      <c r="C355" s="375" t="str">
        <f>IF(DevCosts!D356="","",DevCosts!D356)</f>
        <v/>
      </c>
    </row>
    <row r="356" spans="3:3">
      <c r="C356" s="375" t="str">
        <f>IF(DevCosts!D357="","",DevCosts!D357)</f>
        <v/>
      </c>
    </row>
    <row r="357" spans="3:3">
      <c r="C357" s="375" t="str">
        <f>IF(DevCosts!D358="","",DevCosts!D358)</f>
        <v/>
      </c>
    </row>
    <row r="358" spans="3:3">
      <c r="C358" s="375" t="str">
        <f>IF(DevCosts!D359="","",DevCosts!D359)</f>
        <v/>
      </c>
    </row>
    <row r="359" spans="3:3">
      <c r="C359" s="375" t="str">
        <f>IF(DevCosts!D360="","",DevCosts!D360)</f>
        <v/>
      </c>
    </row>
    <row r="360" spans="3:3">
      <c r="C360" s="375" t="str">
        <f>IF(DevCosts!D361="","",DevCosts!D361)</f>
        <v/>
      </c>
    </row>
    <row r="361" spans="3:3">
      <c r="C361" s="375" t="str">
        <f>IF(DevCosts!D362="","",DevCosts!D362)</f>
        <v/>
      </c>
    </row>
    <row r="362" spans="3:3">
      <c r="C362" s="375" t="str">
        <f>IF(DevCosts!D363="","",DevCosts!D363)</f>
        <v/>
      </c>
    </row>
    <row r="363" spans="3:3">
      <c r="C363" s="375" t="str">
        <f>IF(DevCosts!D364="","",DevCosts!D364)</f>
        <v/>
      </c>
    </row>
    <row r="364" spans="3:3">
      <c r="C364" s="375" t="str">
        <f>IF(DevCosts!D365="","",DevCosts!D365)</f>
        <v/>
      </c>
    </row>
    <row r="365" spans="3:3">
      <c r="C365" s="375" t="str">
        <f>IF(DevCosts!D366="","",DevCosts!D366)</f>
        <v/>
      </c>
    </row>
    <row r="366" spans="3:3">
      <c r="C366" s="375" t="str">
        <f>IF(DevCosts!D367="","",DevCosts!D367)</f>
        <v/>
      </c>
    </row>
    <row r="367" spans="3:3">
      <c r="C367" s="375" t="str">
        <f>IF(DevCosts!D368="","",DevCosts!D368)</f>
        <v/>
      </c>
    </row>
    <row r="368" spans="3:3">
      <c r="C368" s="375" t="str">
        <f>IF(DevCosts!D369="","",DevCosts!D369)</f>
        <v/>
      </c>
    </row>
    <row r="369" spans="3:3">
      <c r="C369" s="375" t="str">
        <f>IF(DevCosts!D370="","",DevCosts!D370)</f>
        <v/>
      </c>
    </row>
    <row r="370" spans="3:3">
      <c r="C370" s="375" t="str">
        <f>IF(DevCosts!D371="","",DevCosts!D371)</f>
        <v/>
      </c>
    </row>
    <row r="371" spans="3:3">
      <c r="C371" s="375" t="str">
        <f>IF(DevCosts!D372="","",DevCosts!D372)</f>
        <v/>
      </c>
    </row>
    <row r="372" spans="3:3">
      <c r="C372" s="375" t="str">
        <f>IF(DevCosts!D373="","",DevCosts!D373)</f>
        <v/>
      </c>
    </row>
    <row r="373" spans="3:3">
      <c r="C373" s="375" t="str">
        <f>IF(DevCosts!D374="","",DevCosts!D374)</f>
        <v/>
      </c>
    </row>
    <row r="374" spans="3:3">
      <c r="C374" s="375" t="str">
        <f>IF(DevCosts!D375="","",DevCosts!D375)</f>
        <v/>
      </c>
    </row>
    <row r="375" spans="3:3">
      <c r="C375" s="375" t="str">
        <f>IF(DevCosts!D376="","",DevCosts!D376)</f>
        <v/>
      </c>
    </row>
    <row r="376" spans="3:3">
      <c r="C376" s="375" t="str">
        <f>IF(DevCosts!D377="","",DevCosts!D377)</f>
        <v/>
      </c>
    </row>
    <row r="377" spans="3:3">
      <c r="C377" s="375" t="str">
        <f>IF(DevCosts!D378="","",DevCosts!D378)</f>
        <v/>
      </c>
    </row>
    <row r="378" spans="3:3">
      <c r="C378" s="375" t="str">
        <f>IF(DevCosts!D379="","",DevCosts!D379)</f>
        <v/>
      </c>
    </row>
    <row r="379" spans="3:3">
      <c r="C379" s="375" t="str">
        <f>IF(DevCosts!D380="","",DevCosts!D380)</f>
        <v/>
      </c>
    </row>
    <row r="380" spans="3:3">
      <c r="C380" s="375" t="str">
        <f>IF(DevCosts!D381="","",DevCosts!D381)</f>
        <v/>
      </c>
    </row>
    <row r="381" spans="3:3">
      <c r="C381" s="375" t="str">
        <f>IF(DevCosts!D382="","",DevCosts!D382)</f>
        <v/>
      </c>
    </row>
    <row r="382" spans="3:3">
      <c r="C382" s="375" t="str">
        <f>IF(DevCosts!D383="","",DevCosts!D383)</f>
        <v/>
      </c>
    </row>
    <row r="383" spans="3:3">
      <c r="C383" s="375" t="str">
        <f>IF(DevCosts!D384="","",DevCosts!D384)</f>
        <v/>
      </c>
    </row>
    <row r="384" spans="3:3">
      <c r="C384" s="375" t="str">
        <f>IF(DevCosts!D385="","",DevCosts!D385)</f>
        <v/>
      </c>
    </row>
    <row r="385" spans="3:3">
      <c r="C385" s="375" t="str">
        <f>IF(DevCosts!D386="","",DevCosts!D386)</f>
        <v/>
      </c>
    </row>
    <row r="386" spans="3:3">
      <c r="C386" s="375" t="str">
        <f>IF(DevCosts!D387="","",DevCosts!D387)</f>
        <v/>
      </c>
    </row>
    <row r="387" spans="3:3">
      <c r="C387" s="375" t="str">
        <f>IF(DevCosts!D388="","",DevCosts!D388)</f>
        <v/>
      </c>
    </row>
    <row r="388" spans="3:3">
      <c r="C388" s="375" t="str">
        <f>IF(DevCosts!D389="","",DevCosts!D389)</f>
        <v/>
      </c>
    </row>
    <row r="389" spans="3:3">
      <c r="C389" s="375" t="str">
        <f>IF(DevCosts!D390="","",DevCosts!D390)</f>
        <v/>
      </c>
    </row>
    <row r="390" spans="3:3">
      <c r="C390" s="375" t="str">
        <f>IF(DevCosts!D391="","",DevCosts!D391)</f>
        <v/>
      </c>
    </row>
    <row r="391" spans="3:3">
      <c r="C391" s="375" t="str">
        <f>IF(DevCosts!D392="","",DevCosts!D392)</f>
        <v/>
      </c>
    </row>
    <row r="392" spans="3:3">
      <c r="C392" s="375" t="str">
        <f>IF(DevCosts!D393="","",DevCosts!D393)</f>
        <v/>
      </c>
    </row>
    <row r="393" spans="3:3">
      <c r="C393" s="375" t="str">
        <f>IF(DevCosts!D394="","",DevCosts!D394)</f>
        <v/>
      </c>
    </row>
    <row r="394" spans="3:3">
      <c r="C394" s="375" t="str">
        <f>IF(DevCosts!D395="","",DevCosts!D395)</f>
        <v/>
      </c>
    </row>
    <row r="395" spans="3:3">
      <c r="C395" s="375" t="str">
        <f>IF(DevCosts!D396="","",DevCosts!D396)</f>
        <v/>
      </c>
    </row>
    <row r="396" spans="3:3">
      <c r="C396" s="375" t="str">
        <f>IF(DevCosts!D397="","",DevCosts!D397)</f>
        <v/>
      </c>
    </row>
    <row r="397" spans="3:3">
      <c r="C397" s="375" t="str">
        <f>IF(DevCosts!D398="","",DevCosts!D398)</f>
        <v/>
      </c>
    </row>
    <row r="398" spans="3:3">
      <c r="C398" s="375" t="str">
        <f>IF(DevCosts!D399="","",DevCosts!D399)</f>
        <v/>
      </c>
    </row>
    <row r="399" spans="3:3">
      <c r="C399" s="375" t="str">
        <f>IF(DevCosts!D400="","",DevCosts!D400)</f>
        <v/>
      </c>
    </row>
    <row r="400" spans="3:3">
      <c r="C400" s="375" t="str">
        <f>IF(DevCosts!D401="","",DevCosts!D401)</f>
        <v/>
      </c>
    </row>
    <row r="401" spans="3:3">
      <c r="C401" s="375" t="str">
        <f>IF(DevCosts!D402="","",DevCosts!D402)</f>
        <v/>
      </c>
    </row>
    <row r="402" spans="3:3">
      <c r="C402" s="375" t="str">
        <f>IF(DevCosts!D403="","",DevCosts!D403)</f>
        <v/>
      </c>
    </row>
    <row r="403" spans="3:3">
      <c r="C403" s="375" t="str">
        <f>IF(DevCosts!D404="","",DevCosts!D404)</f>
        <v/>
      </c>
    </row>
    <row r="404" spans="3:3">
      <c r="C404" s="375" t="str">
        <f>IF(DevCosts!D405="","",DevCosts!D405)</f>
        <v/>
      </c>
    </row>
    <row r="405" spans="3:3">
      <c r="C405" s="375" t="str">
        <f>IF(DevCosts!D406="","",DevCosts!D406)</f>
        <v/>
      </c>
    </row>
    <row r="406" spans="3:3">
      <c r="C406" s="375" t="str">
        <f>IF(DevCosts!D407="","",DevCosts!D407)</f>
        <v/>
      </c>
    </row>
    <row r="407" spans="3:3">
      <c r="C407" s="375" t="str">
        <f>IF(DevCosts!D408="","",DevCosts!D408)</f>
        <v/>
      </c>
    </row>
    <row r="408" spans="3:3">
      <c r="C408" s="375" t="str">
        <f>IF(DevCosts!D409="","",DevCosts!D409)</f>
        <v/>
      </c>
    </row>
    <row r="409" spans="3:3">
      <c r="C409" s="375" t="str">
        <f>IF(DevCosts!D410="","",DevCosts!D410)</f>
        <v/>
      </c>
    </row>
    <row r="410" spans="3:3">
      <c r="C410" s="375" t="str">
        <f>IF(DevCosts!D411="","",DevCosts!D411)</f>
        <v/>
      </c>
    </row>
    <row r="411" spans="3:3">
      <c r="C411" s="375" t="str">
        <f>IF(DevCosts!D412="","",DevCosts!D412)</f>
        <v/>
      </c>
    </row>
    <row r="412" spans="3:3">
      <c r="C412" s="375" t="str">
        <f>IF(DevCosts!D413="","",DevCosts!D413)</f>
        <v/>
      </c>
    </row>
    <row r="413" spans="3:3">
      <c r="C413" s="375" t="str">
        <f>IF(DevCosts!D414="","",DevCosts!D414)</f>
        <v/>
      </c>
    </row>
    <row r="414" spans="3:3">
      <c r="C414" s="375" t="str">
        <f>IF(DevCosts!D415="","",DevCosts!D415)</f>
        <v/>
      </c>
    </row>
    <row r="415" spans="3:3">
      <c r="C415" s="375" t="str">
        <f>IF(DevCosts!D416="","",DevCosts!D416)</f>
        <v/>
      </c>
    </row>
    <row r="416" spans="3:3">
      <c r="C416" s="375" t="str">
        <f>IF(DevCosts!D417="","",DevCosts!D417)</f>
        <v/>
      </c>
    </row>
    <row r="417" spans="3:3">
      <c r="C417" s="375" t="str">
        <f>IF(DevCosts!D418="","",DevCosts!D418)</f>
        <v/>
      </c>
    </row>
    <row r="418" spans="3:3">
      <c r="C418" s="375" t="str">
        <f>IF(DevCosts!D419="","",DevCosts!D419)</f>
        <v/>
      </c>
    </row>
    <row r="419" spans="3:3">
      <c r="C419" s="375" t="str">
        <f>IF(DevCosts!D420="","",DevCosts!D420)</f>
        <v/>
      </c>
    </row>
    <row r="420" spans="3:3">
      <c r="C420" s="375" t="str">
        <f>IF(DevCosts!D421="","",DevCosts!D421)</f>
        <v/>
      </c>
    </row>
    <row r="421" spans="3:3">
      <c r="C421" s="375" t="str">
        <f>IF(DevCosts!D422="","",DevCosts!D422)</f>
        <v/>
      </c>
    </row>
    <row r="422" spans="3:3">
      <c r="C422" s="375" t="str">
        <f>IF(DevCosts!D423="","",DevCosts!D423)</f>
        <v/>
      </c>
    </row>
    <row r="423" spans="3:3">
      <c r="C423" s="375" t="str">
        <f>IF(DevCosts!D424="","",DevCosts!D424)</f>
        <v/>
      </c>
    </row>
    <row r="424" spans="3:3">
      <c r="C424" s="375" t="str">
        <f>IF(DevCosts!D425="","",DevCosts!D425)</f>
        <v/>
      </c>
    </row>
    <row r="425" spans="3:3">
      <c r="C425" s="375" t="str">
        <f>IF(DevCosts!D426="","",DevCosts!D426)</f>
        <v/>
      </c>
    </row>
    <row r="426" spans="3:3">
      <c r="C426" s="375" t="str">
        <f>IF(DevCosts!D427="","",DevCosts!D427)</f>
        <v/>
      </c>
    </row>
    <row r="427" spans="3:3">
      <c r="C427" s="375" t="str">
        <f>IF(DevCosts!D428="","",DevCosts!D428)</f>
        <v/>
      </c>
    </row>
    <row r="428" spans="3:3">
      <c r="C428" s="375" t="str">
        <f>IF(DevCosts!D429="","",DevCosts!D429)</f>
        <v/>
      </c>
    </row>
    <row r="429" spans="3:3">
      <c r="C429" s="375" t="str">
        <f>IF(DevCosts!D430="","",DevCosts!D430)</f>
        <v/>
      </c>
    </row>
    <row r="430" spans="3:3">
      <c r="C430" s="375" t="str">
        <f>IF(DevCosts!D431="","",DevCosts!D431)</f>
        <v/>
      </c>
    </row>
    <row r="431" spans="3:3">
      <c r="C431" s="375" t="str">
        <f>IF(DevCosts!D432="","",DevCosts!D432)</f>
        <v/>
      </c>
    </row>
    <row r="432" spans="3:3">
      <c r="C432" s="375" t="str">
        <f>IF(DevCosts!D433="","",DevCosts!D433)</f>
        <v/>
      </c>
    </row>
    <row r="433" spans="3:3">
      <c r="C433" s="375" t="str">
        <f>IF(DevCosts!D434="","",DevCosts!D434)</f>
        <v/>
      </c>
    </row>
    <row r="434" spans="3:3">
      <c r="C434" s="375" t="str">
        <f>IF(DevCosts!D435="","",DevCosts!D435)</f>
        <v/>
      </c>
    </row>
    <row r="435" spans="3:3">
      <c r="C435" s="375" t="str">
        <f>IF(DevCosts!D436="","",DevCosts!D436)</f>
        <v/>
      </c>
    </row>
    <row r="436" spans="3:3">
      <c r="C436" s="375" t="str">
        <f>IF(DevCosts!D437="","",DevCosts!D437)</f>
        <v/>
      </c>
    </row>
    <row r="437" spans="3:3">
      <c r="C437" s="375" t="str">
        <f>IF(DevCosts!D438="","",DevCosts!D438)</f>
        <v/>
      </c>
    </row>
    <row r="438" spans="3:3">
      <c r="C438" s="375" t="str">
        <f>IF(DevCosts!D439="","",DevCosts!D439)</f>
        <v/>
      </c>
    </row>
    <row r="439" spans="3:3">
      <c r="C439" s="375" t="str">
        <f>IF(DevCosts!D440="","",DevCosts!D440)</f>
        <v/>
      </c>
    </row>
    <row r="440" spans="3:3">
      <c r="C440" s="375" t="str">
        <f>IF(DevCosts!D441="","",DevCosts!D441)</f>
        <v/>
      </c>
    </row>
    <row r="441" spans="3:3">
      <c r="C441" s="375" t="str">
        <f>IF(DevCosts!D442="","",DevCosts!D442)</f>
        <v/>
      </c>
    </row>
    <row r="442" spans="3:3">
      <c r="C442" s="375" t="str">
        <f>IF(DevCosts!D443="","",DevCosts!D443)</f>
        <v/>
      </c>
    </row>
    <row r="443" spans="3:3">
      <c r="C443" s="375" t="str">
        <f>IF(DevCosts!D444="","",DevCosts!D444)</f>
        <v/>
      </c>
    </row>
    <row r="444" spans="3:3">
      <c r="C444" s="375" t="str">
        <f>IF(DevCosts!D445="","",DevCosts!D445)</f>
        <v/>
      </c>
    </row>
    <row r="445" spans="3:3">
      <c r="C445" s="375" t="str">
        <f>IF(DevCosts!D446="","",DevCosts!D446)</f>
        <v/>
      </c>
    </row>
    <row r="446" spans="3:3">
      <c r="C446" s="375" t="str">
        <f>IF(DevCosts!D447="","",DevCosts!D447)</f>
        <v/>
      </c>
    </row>
    <row r="447" spans="3:3">
      <c r="C447" s="375" t="str">
        <f>IF(DevCosts!D448="","",DevCosts!D448)</f>
        <v/>
      </c>
    </row>
    <row r="448" spans="3:3">
      <c r="C448" s="375" t="str">
        <f>IF(DevCosts!D449="","",DevCosts!D449)</f>
        <v/>
      </c>
    </row>
    <row r="449" spans="3:3">
      <c r="C449" s="375" t="str">
        <f>IF(DevCosts!D450="","",DevCosts!D450)</f>
        <v/>
      </c>
    </row>
    <row r="450" spans="3:3">
      <c r="C450" s="375" t="str">
        <f>IF(DevCosts!D451="","",DevCosts!D451)</f>
        <v/>
      </c>
    </row>
    <row r="451" spans="3:3">
      <c r="C451" s="375" t="str">
        <f>IF(DevCosts!D452="","",DevCosts!D452)</f>
        <v/>
      </c>
    </row>
    <row r="452" spans="3:3">
      <c r="C452" s="375" t="str">
        <f>IF(DevCosts!D453="","",DevCosts!D453)</f>
        <v/>
      </c>
    </row>
  </sheetData>
  <sheetProtection algorithmName="SHA-512" hashValue="0c+gWJL/0gpXGILxUc3UIG+kK7HP+cSodZjbX14wzuruu3WHrClNxmkJV2PpciPErMn2vtATGKjpTqjPeEokYw==" saltValue="CTmj/AsUGt4D27ifCXQ1uA==" spinCount="100000" sheet="1" objects="1" scenarios="1"/>
  <phoneticPr fontId="53" type="noConversion"/>
  <dataValidations count="5">
    <dataValidation allowBlank="1" showInputMessage="1" showErrorMessage="1" promptTitle="DOH Eligible Costs" prompt="Eligible costs are estimated but can be overwritten." sqref="D4:D12 D14:D19 D21:D31 D33:D39 D118:D124 D49:D55 D41:D47 D57:D77 D79:D94 D102:D105 D96:D100 D112:D116 D126:D129 D107:D110" xr:uid="{00000000-0002-0000-0A00-000000000000}"/>
    <dataValidation allowBlank="1" showInputMessage="1" showErrorMessage="1" promptTitle="DOH Ineligible" prompt="Ineligible Costs are Calculated as Total Cost - Eligible Costs." sqref="E3:E131" xr:uid="{00000000-0002-0000-0A00-000001000000}"/>
    <dataValidation allowBlank="1" showInputMessage="1" showErrorMessage="1" promptTitle="DOH Anticipated Uses" prompt="Anticipated Uses are estimated as a pro-ration of all eligible costs but can be overwritten." sqref="F118:F124 F14:F19 F33:F39 F41:F47 F21:F31 F49:F55 F57:F77 F79:F94 F96:F100 F102:F105 F107:F110 F112:F116 F126:F129 F4:F12" xr:uid="{00000000-0002-0000-0A00-000002000000}"/>
    <dataValidation allowBlank="1" showInputMessage="1" showErrorMessage="1" promptTitle="Total Amount" prompt="These are the values entered in the DevCosts tab." sqref="C3:C131" xr:uid="{00000000-0002-0000-0A00-000003000000}"/>
    <dataValidation allowBlank="1" showInputMessage="1" showErrorMessage="1" promptTitle="DOH Loan Funds" prompt="Only funds marked as &quot;Chicago DOH&quot; are listed here." sqref="C140 C136:C138" xr:uid="{00000000-0002-0000-0A00-000004000000}"/>
  </dataValidations>
  <printOptions horizontalCentered="1"/>
  <pageMargins left="0.45" right="0.5" top="0.71" bottom="0.54" header="0.27" footer="0.22"/>
  <pageSetup scale="77" orientation="portrait" horizontalDpi="1200" verticalDpi="1200" r:id="rId1"/>
  <headerFooter alignWithMargins="0">
    <oddHeader>&amp;C&amp;"Arial,Bold"&amp;12DOH Eligible Costs
Schedule D</oddHeader>
    <oddFooter>&amp;L&amp;Z&amp;F&amp;RPage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AC54"/>
  <sheetViews>
    <sheetView workbookViewId="0">
      <selection activeCell="O35" sqref="O35"/>
    </sheetView>
  </sheetViews>
  <sheetFormatPr defaultColWidth="8.85546875" defaultRowHeight="12.75"/>
  <cols>
    <col min="1" max="1" width="7.140625" customWidth="1"/>
    <col min="2" max="2" width="12" customWidth="1"/>
    <col min="3" max="3" width="12.7109375" customWidth="1"/>
    <col min="4" max="5" width="10" customWidth="1"/>
    <col min="6" max="6" width="11.42578125" customWidth="1"/>
    <col min="7" max="7" width="5.85546875" customWidth="1"/>
    <col min="8" max="8" width="11.28515625" customWidth="1"/>
    <col min="9" max="9" width="8.140625" customWidth="1"/>
    <col min="10" max="10" width="11.7109375" customWidth="1"/>
    <col min="11" max="11" width="11.140625" customWidth="1"/>
    <col min="12" max="12" width="10.42578125" customWidth="1"/>
  </cols>
  <sheetData>
    <row r="1" spans="1:29" ht="15.75">
      <c r="A1" s="1977" t="s">
        <v>826</v>
      </c>
      <c r="B1" s="1977"/>
      <c r="C1" s="1977"/>
      <c r="D1" s="1977"/>
      <c r="E1" s="1977"/>
      <c r="F1" s="1977"/>
      <c r="G1" s="1977"/>
      <c r="H1" s="1977"/>
      <c r="I1" s="1977"/>
      <c r="J1" s="1977"/>
      <c r="K1" s="1977"/>
    </row>
    <row r="2" spans="1:29" ht="8.4499999999999993" customHeight="1">
      <c r="A2" s="1795"/>
      <c r="B2" s="1795"/>
      <c r="C2" s="1795"/>
      <c r="D2" s="1795"/>
      <c r="E2" s="1795"/>
      <c r="F2" s="1795"/>
      <c r="G2" s="1795"/>
      <c r="H2" s="1795"/>
      <c r="I2" s="1795"/>
      <c r="J2" s="1795"/>
      <c r="K2" s="1795"/>
      <c r="L2" s="296"/>
    </row>
    <row r="3" spans="1:29" s="598" customFormat="1">
      <c r="A3" s="597" t="s">
        <v>827</v>
      </c>
      <c r="B3" s="1519"/>
      <c r="C3" s="1519"/>
      <c r="D3" s="1519"/>
      <c r="E3" s="1519"/>
      <c r="F3" s="1519"/>
      <c r="G3" s="1519"/>
      <c r="H3" s="1519"/>
      <c r="I3" s="597" t="s">
        <v>828</v>
      </c>
      <c r="J3" s="1519"/>
      <c r="K3" s="1519"/>
      <c r="L3" s="1520"/>
      <c r="M3" s="1519"/>
      <c r="N3" s="1519"/>
      <c r="O3" s="1519"/>
      <c r="P3" s="1519"/>
      <c r="Q3" s="1519"/>
      <c r="R3" s="1519"/>
      <c r="S3" s="1519"/>
      <c r="T3" s="1519"/>
      <c r="U3" s="1519"/>
      <c r="V3" s="1519"/>
      <c r="W3" s="1519"/>
      <c r="X3" s="1519"/>
      <c r="Y3" s="1519"/>
      <c r="Z3" s="1521">
        <f>IF(Setup!$D$12=Lists!Y3,Lists!Z3,IF(Setup!D13=Lists!Y4,Lists!Z4,IF(Setup!D13=Lists!Y5,Lists!Z5,IF(Setup!D13=Lists!Y6,Lists!Z6,IF(Setup!D13=Lists!Y7,Lists!Z7,IF(Setup!D13=Lists!Y8,Lists!Z8,IF(Setup!D13=Lists!Y9,Lists!Z9,0)))))))</f>
        <v>0</v>
      </c>
      <c r="AA3" s="1521"/>
      <c r="AB3" s="1521"/>
      <c r="AC3" s="1521"/>
    </row>
    <row r="4" spans="1:29" s="598" customFormat="1">
      <c r="A4" s="1519" t="s">
        <v>62</v>
      </c>
      <c r="B4" s="1519"/>
      <c r="C4" s="1522" t="str">
        <f>Setup!D6</f>
        <v>New City Deal</v>
      </c>
      <c r="D4" s="1519"/>
      <c r="E4" s="1523"/>
      <c r="F4" s="1523"/>
      <c r="G4" s="1523"/>
      <c r="H4" s="1519"/>
      <c r="I4" s="1519" t="s">
        <v>829</v>
      </c>
      <c r="J4" s="1519"/>
      <c r="K4" s="1519"/>
      <c r="L4" s="1524">
        <f>Setup!D37</f>
        <v>0</v>
      </c>
      <c r="M4" s="1519"/>
      <c r="N4" s="1519"/>
      <c r="O4" s="1519"/>
      <c r="P4" s="1519"/>
      <c r="Q4" s="1519"/>
      <c r="R4" s="1519"/>
      <c r="S4" s="1519"/>
      <c r="T4" s="1519"/>
      <c r="U4" s="1519"/>
      <c r="V4" s="1525"/>
      <c r="W4" s="1519"/>
      <c r="X4" s="1519"/>
      <c r="Y4" s="1519"/>
      <c r="Z4" s="1519">
        <f>IF(Setup!D13=Lists!Y10,Lists!Z10,IF(Setup!D13=Lists!Y11,Lists!Z11,IF(Setup!D13=Lists!Y12,Lists!Z12,IF(Setup!D13=Lists!Y13,Lists!Z13,IF(Setup!D13=Lists!Y14,Lists!Z14,IF(Setup!D13=Lists!Y15,Lists!Z15,IF(Setup!D13=Lists!Y16,Lists!Z16,0)))))))</f>
        <v>0</v>
      </c>
      <c r="AA4" s="1519"/>
      <c r="AB4" s="1519"/>
      <c r="AC4" s="1519"/>
    </row>
    <row r="5" spans="1:29" s="598" customFormat="1">
      <c r="A5" s="1519" t="s">
        <v>830</v>
      </c>
      <c r="B5" s="1519"/>
      <c r="C5" s="1526" t="str">
        <f>Setup!D18</f>
        <v xml:space="preserve"> </v>
      </c>
      <c r="D5" s="1519"/>
      <c r="E5" s="1521"/>
      <c r="F5" s="1521"/>
      <c r="G5" s="1521"/>
      <c r="H5" s="1519"/>
      <c r="I5" s="1519" t="s">
        <v>831</v>
      </c>
      <c r="J5" s="1519"/>
      <c r="K5" s="1527"/>
      <c r="L5" s="1524">
        <f>Setup!D38</f>
        <v>100000</v>
      </c>
      <c r="M5" s="1519"/>
      <c r="N5" s="1519"/>
      <c r="O5" s="1519"/>
      <c r="P5" s="1519"/>
      <c r="Q5" s="1519"/>
      <c r="R5" s="1519"/>
      <c r="S5" s="1519"/>
      <c r="T5" s="1519"/>
      <c r="U5" s="1519"/>
      <c r="V5" s="1525"/>
      <c r="W5" s="1519"/>
      <c r="X5" s="1519"/>
      <c r="Y5" s="1519"/>
      <c r="Z5" s="1519">
        <f>IF(Setup!D13=Lists!Y27,Lists!Z27,IF(Setup!D13=Lists!Y17,Lists!Z17,IF(Setup!D13=Lists!Y18,Lists!Z18,IF(Setup!D13=Lists!Y23,Lists!Z23,IF(Setup!D13=Lists!Y24,Lists!Z24,IF(Setup!D13=Lists!Y25,Lists!Z25,IF(Setup!D13=Lists!Y26,Lists!Z26,0)))))))</f>
        <v>0</v>
      </c>
      <c r="AA5" s="1519"/>
      <c r="AB5" s="1519"/>
      <c r="AC5" s="1519"/>
    </row>
    <row r="6" spans="1:29" s="598" customFormat="1" ht="12.75" customHeight="1">
      <c r="A6" s="1519" t="s">
        <v>832</v>
      </c>
      <c r="B6" s="1519"/>
      <c r="C6" s="1526">
        <f>Setup!D26</f>
        <v>0</v>
      </c>
      <c r="D6" s="1527" t="s">
        <v>833</v>
      </c>
      <c r="E6" s="1528">
        <f>Setup!D28</f>
        <v>0</v>
      </c>
      <c r="F6" s="1521"/>
      <c r="G6" s="1519"/>
      <c r="H6" s="1519"/>
      <c r="I6" s="1519" t="s">
        <v>834</v>
      </c>
      <c r="J6" s="1519"/>
      <c r="K6" s="1527"/>
      <c r="L6" s="1524">
        <f>Setup!D39</f>
        <v>100000</v>
      </c>
      <c r="M6" s="1519"/>
      <c r="N6" s="1519"/>
      <c r="O6" s="1519"/>
      <c r="P6" s="1519"/>
      <c r="Q6" s="1519"/>
      <c r="R6" s="1519"/>
      <c r="S6" s="1519"/>
      <c r="T6" s="1519"/>
      <c r="U6" s="1519"/>
      <c r="V6" s="1525"/>
      <c r="W6" s="1519"/>
      <c r="X6" s="1519"/>
      <c r="Y6" s="1519"/>
      <c r="Z6" s="1519">
        <f>IF(Setup!D13=Lists!Y28,Lists!Z28,IF(Setup!D13=Lists!Y29,Lists!Z29,IF(Setup!D13=Lists!Y30,Lists!Z30,IF(Setup!D13=Lists!Y31,Lists!Z31,IF(Setup!D13=Lists!Y32,Lists!Z32,IF(Setup!D13=Lists!Y33,Lists!Z33,IF(Setup!D13=Lists!Y34,Lists!Z34,0)))))))</f>
        <v>0</v>
      </c>
      <c r="AA6" s="1519"/>
      <c r="AB6" s="1519"/>
      <c r="AC6" s="1519"/>
    </row>
    <row r="7" spans="1:29" s="598" customFormat="1">
      <c r="A7" s="1519" t="s">
        <v>835</v>
      </c>
      <c r="B7" s="1519"/>
      <c r="C7" s="1529">
        <f>Setup!D8</f>
        <v>0</v>
      </c>
      <c r="D7" s="1521" t="s">
        <v>836</v>
      </c>
      <c r="E7" s="1529">
        <f>Setup!D11</f>
        <v>0</v>
      </c>
      <c r="F7" s="1530"/>
      <c r="G7" s="1519"/>
      <c r="H7" s="1519"/>
      <c r="I7" s="1519" t="s">
        <v>837</v>
      </c>
      <c r="J7" s="1519"/>
      <c r="K7" s="1527"/>
      <c r="L7" s="1524">
        <f>'Units&amp;Income'!C113</f>
        <v>0</v>
      </c>
      <c r="M7" s="1519"/>
      <c r="N7" s="1519"/>
      <c r="O7" s="1519"/>
      <c r="P7" s="1519"/>
      <c r="Q7" s="1519"/>
      <c r="R7" s="1519"/>
      <c r="S7" s="1519"/>
      <c r="T7" s="1519"/>
      <c r="U7" s="1519"/>
      <c r="V7" s="1531"/>
      <c r="W7" s="1521"/>
      <c r="X7" s="1521"/>
      <c r="Y7" s="1519"/>
      <c r="Z7" s="1519">
        <f>IF(Setup!D13=Lists!Y35,Lists!Z35,IF(Setup!D13=Lists!Y36,Lists!Z36,IF(Setup!D13=Lists!Y37,Lists!Z37,IF(Setup!D13=Lists!Y38,Lists!Z38,IF(Setup!D13=Lists!Y39,Lists!Z39,IF(Setup!D13=Lists!Y40,Lists!Z40,IF(Setup!D13=Lists!Y41,Lists!Z41,0)))))))</f>
        <v>0</v>
      </c>
      <c r="AA7" s="1519"/>
      <c r="AB7" s="1519"/>
      <c r="AC7" s="1519"/>
    </row>
    <row r="8" spans="1:29" s="598" customFormat="1" ht="12.2" customHeight="1">
      <c r="A8" s="1519" t="s">
        <v>838</v>
      </c>
      <c r="B8" s="1519"/>
      <c r="C8" s="1526">
        <f>Setup!D35</f>
        <v>1</v>
      </c>
      <c r="D8" s="1519"/>
      <c r="E8" s="1521" t="s">
        <v>839</v>
      </c>
      <c r="F8" s="1521"/>
      <c r="G8" s="1521">
        <f>Setup!D36</f>
        <v>0</v>
      </c>
      <c r="H8" s="1519"/>
      <c r="I8" s="1519" t="s">
        <v>840</v>
      </c>
      <c r="J8" s="1519"/>
      <c r="K8" s="1527"/>
      <c r="L8" s="1524">
        <f>Setup!D40</f>
        <v>0</v>
      </c>
      <c r="M8" s="1519"/>
      <c r="N8" s="1519"/>
      <c r="O8" s="1519"/>
      <c r="P8" s="1519"/>
      <c r="Q8" s="1519"/>
      <c r="R8" s="1519"/>
      <c r="S8" s="1519"/>
      <c r="T8" s="1519"/>
      <c r="U8" s="1519"/>
      <c r="V8" s="1525"/>
      <c r="W8" s="1519"/>
      <c r="X8" s="1519"/>
      <c r="Y8" s="1519"/>
      <c r="Z8" s="1519">
        <f>IF(Setup!D13=Lists!Y42,Lists!Z42,IF(Setup!D13=Lists!Y43,Lists!Z43,IF(Setup!D13=Lists!Y44,Lists!Z44,IF(Setup!D13=Lists!Y45,Lists!Z45,IF(Setup!D13=Lists!Y46,Lists!Z46,IF(Setup!D13=Lists!Y47,Lists!Z47,IF(Setup!D13=Lists!Y19,Lists!Z19,IF(Setup!D13=Lists!Y20,Lists!Z20,0))))))))</f>
        <v>0</v>
      </c>
      <c r="AA8" s="1519"/>
      <c r="AB8" s="1519"/>
      <c r="AC8" s="1519"/>
    </row>
    <row r="9" spans="1:29" s="598" customFormat="1" ht="12.2" customHeight="1">
      <c r="A9" s="1521" t="s">
        <v>841</v>
      </c>
      <c r="B9" s="1521" t="str">
        <f>Setup!D12</f>
        <v>1st</v>
      </c>
      <c r="C9" s="1519" t="str">
        <f>Setup!D13</f>
        <v>Daniel La Spata</v>
      </c>
      <c r="D9" s="1519"/>
      <c r="E9" s="1521" t="s">
        <v>842</v>
      </c>
      <c r="F9" s="1521"/>
      <c r="G9" s="1521">
        <f>Setup!D14</f>
        <v>0</v>
      </c>
      <c r="H9" s="1519"/>
      <c r="I9" s="1526" t="s">
        <v>843</v>
      </c>
      <c r="J9" s="1519"/>
      <c r="K9" s="1519"/>
      <c r="L9" s="1520" t="str">
        <f>Setup!D41</f>
        <v>Walk-Ups</v>
      </c>
      <c r="M9" s="1519"/>
      <c r="N9" s="1519"/>
      <c r="O9" s="1519"/>
      <c r="P9" s="1519"/>
      <c r="Q9" s="1519"/>
      <c r="R9" s="1519"/>
      <c r="S9" s="1519"/>
      <c r="T9" s="1519"/>
      <c r="U9" s="1519"/>
      <c r="V9" s="1532"/>
      <c r="W9" s="1519"/>
      <c r="X9" s="1519"/>
      <c r="Y9" s="1519"/>
      <c r="Z9" s="1519">
        <f>IF(Setup!D13=Lists!Y48,Lists!Z48,IF(Setup!D13=Lists!Y49,Lists!Z49,IF(Setup!D13=Lists!Y50,Lists!Z50,IF(Setup!D13=Lists!Y51,Lists!Z51,IF(Setup!D13=Lists!A62,Lists!D62,IF(Setup!D13=Lists!Y21,Lists!Z21,IF(Setup!D13=Lists!Y22,Lists!Z22,0)))))))</f>
        <v>0</v>
      </c>
      <c r="AA9" s="1519"/>
      <c r="AB9" s="1519"/>
      <c r="AC9" s="1519"/>
    </row>
    <row r="10" spans="1:29" s="598" customFormat="1">
      <c r="A10" s="1519" t="s">
        <v>844</v>
      </c>
      <c r="B10" s="1519"/>
      <c r="C10" s="1521">
        <f>Setup!D14</f>
        <v>0</v>
      </c>
      <c r="D10" s="1519"/>
      <c r="E10" s="1526" t="s">
        <v>845</v>
      </c>
      <c r="F10" s="1519"/>
      <c r="G10" s="1526">
        <f>Setup!D16</f>
        <v>0</v>
      </c>
      <c r="H10" s="1519"/>
      <c r="I10" s="1519"/>
      <c r="J10" s="1521"/>
      <c r="K10" s="1521"/>
      <c r="L10" s="1530"/>
      <c r="M10" s="597"/>
      <c r="N10" s="1519"/>
      <c r="O10" s="1519"/>
      <c r="P10" s="1521"/>
      <c r="Q10" s="1519"/>
      <c r="R10" s="1519"/>
      <c r="S10" s="1519"/>
      <c r="T10" s="1519"/>
      <c r="U10" s="1519"/>
      <c r="V10" s="599"/>
      <c r="W10" s="1519"/>
      <c r="X10" s="1519"/>
      <c r="Y10" s="1519"/>
      <c r="Z10" s="1519"/>
      <c r="AA10" s="1519"/>
      <c r="AB10" s="1519"/>
      <c r="AC10" s="1519"/>
    </row>
    <row r="11" spans="1:29" s="598" customFormat="1" ht="13.5" thickBot="1">
      <c r="A11" s="1519"/>
      <c r="B11" s="1519"/>
      <c r="C11" s="1521"/>
      <c r="D11" s="1521"/>
      <c r="E11" s="1521"/>
      <c r="F11" s="1521"/>
      <c r="G11" s="1526"/>
      <c r="H11" s="1519"/>
      <c r="I11" s="1521"/>
      <c r="J11" s="1521"/>
      <c r="K11" s="1521"/>
      <c r="L11" s="1530"/>
      <c r="M11" s="597"/>
      <c r="N11" s="1519"/>
      <c r="O11" s="1519"/>
      <c r="P11" s="1521"/>
      <c r="Q11" s="1519"/>
      <c r="R11" s="1519"/>
      <c r="S11" s="1519"/>
      <c r="T11" s="1519"/>
      <c r="U11" s="1519"/>
      <c r="V11" s="599"/>
      <c r="W11" s="1519"/>
      <c r="X11" s="1519"/>
      <c r="Y11" s="1519"/>
      <c r="Z11" s="1519"/>
      <c r="AA11" s="1519"/>
      <c r="AB11" s="1519"/>
      <c r="AC11" s="1519"/>
    </row>
    <row r="12" spans="1:29" ht="13.5" thickBot="1">
      <c r="A12" s="1987" t="s">
        <v>846</v>
      </c>
      <c r="B12" s="1988"/>
      <c r="C12" s="1988"/>
      <c r="D12" s="1988"/>
      <c r="E12" s="1988"/>
      <c r="F12" s="1988"/>
      <c r="G12" s="1988"/>
      <c r="H12" s="1989"/>
      <c r="J12" s="597" t="s">
        <v>196</v>
      </c>
      <c r="K12" s="1519"/>
      <c r="L12" s="1530"/>
    </row>
    <row r="13" spans="1:29">
      <c r="A13" s="383"/>
      <c r="B13" s="285"/>
      <c r="C13" s="285"/>
      <c r="D13" s="1982" t="s">
        <v>273</v>
      </c>
      <c r="E13" s="1983"/>
      <c r="F13" s="1796" t="s">
        <v>276</v>
      </c>
      <c r="G13" s="1986" t="s">
        <v>847</v>
      </c>
      <c r="H13" s="1986"/>
      <c r="J13" s="1519" t="s">
        <v>848</v>
      </c>
      <c r="K13" s="1519"/>
      <c r="L13" s="1533">
        <f ca="1">Setup!R28</f>
        <v>45359.014563425924</v>
      </c>
    </row>
    <row r="14" spans="1:29">
      <c r="A14" s="383" t="s">
        <v>849</v>
      </c>
      <c r="B14" s="285"/>
      <c r="C14" s="285"/>
      <c r="D14" s="1961">
        <f>DevCosts!D12</f>
        <v>0</v>
      </c>
      <c r="E14" s="1962"/>
      <c r="F14" s="385">
        <f>IF(D14=0,0,D14/'Units&amp;Income'!$AV$94)</f>
        <v>0</v>
      </c>
      <c r="G14" s="1967">
        <f>IF(D14=0,0,D14/$D$18)</f>
        <v>0</v>
      </c>
      <c r="H14" s="1967"/>
      <c r="J14" s="1519" t="s">
        <v>850</v>
      </c>
      <c r="K14" s="1519"/>
      <c r="L14" s="1533">
        <f ca="1">Setup!R29</f>
        <v>45329.014563425924</v>
      </c>
    </row>
    <row r="15" spans="1:29">
      <c r="A15" s="383" t="s">
        <v>332</v>
      </c>
      <c r="B15" s="285"/>
      <c r="C15" s="285"/>
      <c r="D15" s="1961">
        <f>DevCosts!D19+DevCosts!D31+DevCosts!D39+DevCosts!D47</f>
        <v>0</v>
      </c>
      <c r="E15" s="1962"/>
      <c r="F15" s="385">
        <f>IF(D15=0,0,D15/'Units&amp;Income'!$AV$94)</f>
        <v>0</v>
      </c>
      <c r="G15" s="1967">
        <f>IF(D15=0,0,D15/$D$18)</f>
        <v>0</v>
      </c>
      <c r="H15" s="1967"/>
      <c r="J15" s="1519" t="s">
        <v>851</v>
      </c>
      <c r="K15" s="1519"/>
      <c r="L15" s="1534">
        <f ca="1">YEAR(Setup!R26)+1</f>
        <v>2023</v>
      </c>
    </row>
    <row r="16" spans="1:29">
      <c r="A16" s="383" t="s">
        <v>852</v>
      </c>
      <c r="B16" s="285"/>
      <c r="C16" s="285"/>
      <c r="D16" s="1961">
        <f ca="1">D18-D15-D14-D17</f>
        <v>0</v>
      </c>
      <c r="E16" s="1962"/>
      <c r="F16" s="385">
        <f ca="1">IF(D16=0,0,D16/'Units&amp;Income'!$AV$94)</f>
        <v>0</v>
      </c>
      <c r="G16" s="1967">
        <f ca="1">IF(D16=0,0,D16/$D$18)</f>
        <v>0</v>
      </c>
      <c r="H16" s="1967"/>
      <c r="J16" s="1519" t="s">
        <v>853</v>
      </c>
      <c r="K16" s="1519"/>
      <c r="L16" s="1535">
        <f>Setup!D5</f>
        <v>1</v>
      </c>
    </row>
    <row r="17" spans="1:12" ht="13.5" thickBot="1">
      <c r="A17" s="578" t="s">
        <v>393</v>
      </c>
      <c r="B17" s="482"/>
      <c r="C17" s="482"/>
      <c r="D17" s="1984">
        <f ca="1">DevCosts!D119</f>
        <v>0</v>
      </c>
      <c r="E17" s="1985"/>
      <c r="F17" s="959">
        <f ca="1">IF(D17=0,0,D17/'Units&amp;Income'!$AV$94)</f>
        <v>0</v>
      </c>
      <c r="G17" s="1990">
        <f ca="1">IF(D17=0,0,D17/$D$18)</f>
        <v>0</v>
      </c>
      <c r="H17" s="1990"/>
      <c r="J17" s="1519" t="s">
        <v>854</v>
      </c>
      <c r="K17" s="1519"/>
      <c r="L17" s="1536">
        <f>Setup!R38</f>
        <v>0</v>
      </c>
    </row>
    <row r="18" spans="1:12" s="295" customFormat="1" ht="14.25" thickTop="1" thickBot="1">
      <c r="A18" s="1517" t="s">
        <v>855</v>
      </c>
      <c r="B18" s="1500"/>
      <c r="C18" s="1500"/>
      <c r="D18" s="1970">
        <f ca="1">DevCosts!D133</f>
        <v>0</v>
      </c>
      <c r="E18" s="1971"/>
      <c r="F18" s="1501">
        <f ca="1">IF(D18=0,0,D18/'Units&amp;Income'!$AV$94)</f>
        <v>0</v>
      </c>
      <c r="G18" s="1991">
        <f ca="1">IF(D18=0,0,D18/$D$18)</f>
        <v>0</v>
      </c>
      <c r="H18" s="1992"/>
      <c r="I18" s="1095"/>
      <c r="J18" s="1994" t="s">
        <v>856</v>
      </c>
      <c r="K18" s="1994"/>
      <c r="L18" s="1993" t="str">
        <f>Setup!K56</f>
        <v>Positive All 40 Years</v>
      </c>
    </row>
    <row r="19" spans="1:12" s="295" customFormat="1" ht="9" customHeight="1">
      <c r="A19" s="1340"/>
      <c r="B19" s="1340"/>
      <c r="C19" s="1340"/>
      <c r="D19" s="1537"/>
      <c r="E19" s="1537"/>
      <c r="F19" s="1538"/>
      <c r="G19" s="1539"/>
      <c r="H19" s="1539"/>
      <c r="I19" s="1095"/>
      <c r="J19" s="1994"/>
      <c r="K19" s="1994"/>
      <c r="L19" s="1993"/>
    </row>
    <row r="20" spans="1:12" ht="13.5" thickBot="1"/>
    <row r="21" spans="1:12">
      <c r="A21" s="1540"/>
      <c r="B21" s="1541"/>
      <c r="C21" s="1975" t="s">
        <v>857</v>
      </c>
      <c r="D21" s="1975"/>
      <c r="E21" s="1975"/>
      <c r="F21" s="1975"/>
      <c r="G21" s="1975"/>
      <c r="H21" s="1975"/>
      <c r="I21" s="1975"/>
      <c r="J21" s="1975"/>
      <c r="K21" s="1975"/>
      <c r="L21" s="1976"/>
    </row>
    <row r="22" spans="1:12">
      <c r="A22" s="1542"/>
      <c r="B22" s="1543"/>
      <c r="C22" s="1978" t="s">
        <v>858</v>
      </c>
      <c r="D22" s="1978"/>
      <c r="E22" s="1978"/>
      <c r="F22" s="1978"/>
      <c r="G22" s="1979"/>
      <c r="H22" s="1980" t="s">
        <v>859</v>
      </c>
      <c r="I22" s="1978"/>
      <c r="J22" s="1978"/>
      <c r="K22" s="1978"/>
      <c r="L22" s="1981"/>
    </row>
    <row r="23" spans="1:12" s="295" customFormat="1">
      <c r="A23" s="1544" t="s">
        <v>860</v>
      </c>
      <c r="B23" s="1323"/>
      <c r="C23" s="1545" t="s">
        <v>273</v>
      </c>
      <c r="D23" s="1545" t="s">
        <v>861</v>
      </c>
      <c r="E23" s="1545" t="s">
        <v>862</v>
      </c>
      <c r="F23" s="1545" t="s">
        <v>863</v>
      </c>
      <c r="G23" s="1546" t="s">
        <v>864</v>
      </c>
      <c r="H23" s="1547" t="s">
        <v>273</v>
      </c>
      <c r="I23" s="1545" t="s">
        <v>861</v>
      </c>
      <c r="J23" s="1545" t="s">
        <v>862</v>
      </c>
      <c r="K23" s="1545" t="s">
        <v>863</v>
      </c>
      <c r="L23" s="1548" t="s">
        <v>864</v>
      </c>
    </row>
    <row r="24" spans="1:12">
      <c r="A24" s="13" t="s">
        <v>865</v>
      </c>
      <c r="B24" s="285"/>
      <c r="C24" s="446">
        <f>SUM(Sources!D3:D8)</f>
        <v>0</v>
      </c>
      <c r="D24" s="580">
        <f ca="1">IF(Sources!D3&gt;0,Sources!F3,Sources!F5)</f>
        <v>28</v>
      </c>
      <c r="E24" s="445">
        <f>IF(Sources!D3&gt;0,Sources!H3,Sources!H5)</f>
        <v>6.5000000000000002E-2</v>
      </c>
      <c r="F24" s="446">
        <f ca="1">SUM(Sources!I3:I7)</f>
        <v>0</v>
      </c>
      <c r="G24" s="590" t="str">
        <f ca="1">IF(F24=0,"",E44/F24)</f>
        <v/>
      </c>
      <c r="H24" s="581">
        <f>SUM(Sources!D50:D54)</f>
        <v>0</v>
      </c>
      <c r="I24" s="580">
        <f>IF(Sources!D50&gt;0,Sources!H50,Sources!H52)</f>
        <v>30</v>
      </c>
      <c r="J24" s="445">
        <f>IF(Sources!D50&gt;0,Sources!I50,Sources!I52)</f>
        <v>6.5000000000000002E-2</v>
      </c>
      <c r="K24" s="446">
        <f>SUM(Sources!J50:J54)</f>
        <v>0</v>
      </c>
      <c r="L24" s="592" t="str">
        <f>IF(K24=0,"",F44/K24)</f>
        <v/>
      </c>
    </row>
    <row r="25" spans="1:12">
      <c r="A25" s="13" t="s">
        <v>866</v>
      </c>
      <c r="B25" s="285"/>
      <c r="C25" s="446">
        <f>Sources!C114</f>
        <v>0</v>
      </c>
      <c r="D25" s="706"/>
      <c r="E25" s="710"/>
      <c r="F25" s="446">
        <f ca="1">Sources!P24</f>
        <v>0</v>
      </c>
      <c r="G25" s="590" t="str">
        <f ca="1">IF(SUM(F24:F25)=0,"",E44/SUM(F24:F25))</f>
        <v/>
      </c>
      <c r="H25" s="581">
        <f>Sources!Q70</f>
        <v>0</v>
      </c>
      <c r="I25" s="706"/>
      <c r="J25" s="710"/>
      <c r="K25" s="446">
        <f>Sources!P70</f>
        <v>0</v>
      </c>
      <c r="L25" s="592" t="str">
        <f>IF(SUM(K24:K25)=0,"",F44/SUM(K24:K25))</f>
        <v/>
      </c>
    </row>
    <row r="26" spans="1:12">
      <c r="A26" s="13" t="s">
        <v>867</v>
      </c>
      <c r="B26" s="285"/>
      <c r="C26" s="446">
        <f>Sources!D24-SUM(Refi!C24:C25)-SUM(Refi!C27:C31)</f>
        <v>0</v>
      </c>
      <c r="D26" s="706"/>
      <c r="E26" s="710"/>
      <c r="F26" s="446">
        <f ca="1">Sources!I24-F24-F25</f>
        <v>0</v>
      </c>
      <c r="G26" s="590" t="str">
        <f ca="1">IF(SUM(F24:F26)=0,"",E44/SUM(F24:F26))</f>
        <v/>
      </c>
      <c r="H26" s="581">
        <f>Sources!D70-SUM(Refi!H24:H25)-SUM(Refi!H27:H31)</f>
        <v>0</v>
      </c>
      <c r="I26" s="706"/>
      <c r="J26" s="710"/>
      <c r="K26" s="446">
        <f>Sources!J70-SUM(K24:K25)</f>
        <v>0</v>
      </c>
      <c r="L26" s="592" t="str">
        <f>IF(SUM(K24:K26)=0,"",F44/SUM(K24:K26))</f>
        <v/>
      </c>
    </row>
    <row r="27" spans="1:12">
      <c r="A27" s="13" t="s">
        <v>647</v>
      </c>
      <c r="B27" s="285"/>
      <c r="C27" s="446">
        <f>Sources!D14</f>
        <v>0</v>
      </c>
      <c r="D27" s="706"/>
      <c r="E27" s="710"/>
      <c r="F27" s="594"/>
      <c r="G27" s="590"/>
      <c r="H27" s="581">
        <f>Sources!D60</f>
        <v>0</v>
      </c>
      <c r="I27" s="706"/>
      <c r="J27" s="710"/>
      <c r="K27" s="594"/>
      <c r="L27" s="592"/>
    </row>
    <row r="28" spans="1:12">
      <c r="A28" s="13" t="s">
        <v>868</v>
      </c>
      <c r="B28" s="285"/>
      <c r="C28" s="446">
        <f>SUM(Sources!D17:D20)</f>
        <v>0</v>
      </c>
      <c r="D28" s="706"/>
      <c r="E28" s="710"/>
      <c r="F28" s="594"/>
      <c r="G28" s="590"/>
      <c r="H28" s="581">
        <f>SUM(Sources!D63:D66)</f>
        <v>0</v>
      </c>
      <c r="I28" s="706"/>
      <c r="J28" s="710"/>
      <c r="K28" s="594"/>
      <c r="L28" s="592"/>
    </row>
    <row r="29" spans="1:12">
      <c r="A29" s="13" t="s">
        <v>869</v>
      </c>
      <c r="B29" s="285"/>
      <c r="C29" s="446">
        <f>Sources!D22</f>
        <v>100</v>
      </c>
      <c r="D29" s="706"/>
      <c r="E29" s="710"/>
      <c r="F29" s="594"/>
      <c r="G29" s="590"/>
      <c r="H29" s="581">
        <f>Sources!D68</f>
        <v>100</v>
      </c>
      <c r="I29" s="706"/>
      <c r="J29" s="710"/>
      <c r="K29" s="594"/>
      <c r="L29" s="592"/>
    </row>
    <row r="30" spans="1:12">
      <c r="A30" s="13" t="s">
        <v>870</v>
      </c>
      <c r="B30" s="285"/>
      <c r="C30" s="446">
        <f>Sources!D21</f>
        <v>0</v>
      </c>
      <c r="D30" s="706"/>
      <c r="E30" s="710"/>
      <c r="F30" s="594"/>
      <c r="G30" s="590"/>
      <c r="H30" s="581">
        <f>Sources!D67</f>
        <v>0</v>
      </c>
      <c r="I30" s="706"/>
      <c r="J30" s="710"/>
      <c r="K30" s="594"/>
      <c r="L30" s="592"/>
    </row>
    <row r="31" spans="1:12" ht="13.5" thickBot="1">
      <c r="A31" s="579" t="s">
        <v>657</v>
      </c>
      <c r="B31" s="482"/>
      <c r="C31" s="582">
        <f>Sources!D23</f>
        <v>0</v>
      </c>
      <c r="D31" s="707"/>
      <c r="E31" s="711"/>
      <c r="F31" s="595"/>
      <c r="G31" s="591"/>
      <c r="H31" s="583">
        <f>Sources!D69</f>
        <v>0</v>
      </c>
      <c r="I31" s="707"/>
      <c r="J31" s="711"/>
      <c r="K31" s="596"/>
      <c r="L31" s="593"/>
    </row>
    <row r="32" spans="1:12" s="295" customFormat="1" ht="14.25" thickTop="1" thickBot="1">
      <c r="A32" s="585" t="s">
        <v>871</v>
      </c>
      <c r="B32" s="1500"/>
      <c r="C32" s="1549">
        <f>SUM(C24:C31)</f>
        <v>100</v>
      </c>
      <c r="D32" s="1550"/>
      <c r="E32" s="1550"/>
      <c r="F32" s="1549">
        <f ca="1">SUM(F24:F31)</f>
        <v>0</v>
      </c>
      <c r="G32" s="1551" t="str">
        <f ca="1">E47</f>
        <v/>
      </c>
      <c r="H32" s="1549">
        <f>SUM(H24:H31)</f>
        <v>100</v>
      </c>
      <c r="I32" s="1550"/>
      <c r="J32" s="1550"/>
      <c r="K32" s="1549">
        <f>SUM(K24:K31)</f>
        <v>0</v>
      </c>
      <c r="L32" s="1552" t="str">
        <f>L26</f>
        <v/>
      </c>
    </row>
    <row r="33" spans="1:12">
      <c r="A33" s="1965" t="s">
        <v>872</v>
      </c>
      <c r="B33" s="1965"/>
      <c r="C33" s="1963"/>
      <c r="D33" s="1963"/>
      <c r="E33" s="1963"/>
      <c r="F33" s="1963"/>
      <c r="G33" s="1963"/>
      <c r="H33" s="1963"/>
      <c r="I33" s="1963"/>
      <c r="J33" s="1963"/>
      <c r="K33" s="1963"/>
      <c r="L33" s="1963"/>
    </row>
    <row r="34" spans="1:12">
      <c r="A34" s="1966"/>
      <c r="B34" s="1966"/>
      <c r="C34" s="1964"/>
      <c r="D34" s="1964"/>
      <c r="E34" s="1964"/>
      <c r="F34" s="1964"/>
      <c r="G34" s="1964"/>
      <c r="H34" s="1964"/>
      <c r="I34" s="1964"/>
      <c r="J34" s="1964"/>
      <c r="K34" s="1964"/>
      <c r="L34" s="1964"/>
    </row>
    <row r="35" spans="1:12" ht="13.5" thickBot="1">
      <c r="K35" s="14"/>
    </row>
    <row r="36" spans="1:12">
      <c r="A36" s="1972" t="s">
        <v>570</v>
      </c>
      <c r="B36" s="1973"/>
      <c r="C36" s="1973"/>
      <c r="D36" s="1973"/>
      <c r="E36" s="1974"/>
      <c r="F36" s="1968" t="s">
        <v>851</v>
      </c>
    </row>
    <row r="37" spans="1:12">
      <c r="A37" s="383"/>
      <c r="B37" s="285"/>
      <c r="C37" s="1553">
        <f ca="1">OpProforma!D2</f>
        <v>2024</v>
      </c>
      <c r="D37" s="1553">
        <f ca="1">OpProforma!E2</f>
        <v>2025</v>
      </c>
      <c r="E37" s="1554">
        <f ca="1">OpProforma!F2</f>
        <v>2026</v>
      </c>
      <c r="F37" s="1969"/>
    </row>
    <row r="38" spans="1:12">
      <c r="A38" s="383" t="s">
        <v>568</v>
      </c>
      <c r="B38" s="285"/>
      <c r="C38" s="385">
        <f>OpProforma!D6</f>
        <v>0</v>
      </c>
      <c r="D38" s="385">
        <f>OpProforma!E6</f>
        <v>0</v>
      </c>
      <c r="E38" s="571">
        <f>OpProforma!F6</f>
        <v>0</v>
      </c>
      <c r="F38" s="1555">
        <f>OpProforma!G6</f>
        <v>0</v>
      </c>
    </row>
    <row r="39" spans="1:12">
      <c r="A39" s="383" t="s">
        <v>873</v>
      </c>
      <c r="B39" s="285"/>
      <c r="C39" s="385">
        <f>SUM(OpProforma!D7:D9)</f>
        <v>0</v>
      </c>
      <c r="D39" s="385">
        <f>SUM(OpProforma!E7:E9)</f>
        <v>0</v>
      </c>
      <c r="E39" s="571">
        <f>SUM(OpProforma!F7:F9)</f>
        <v>0</v>
      </c>
      <c r="F39" s="1556">
        <f>SUM(OpProforma!G7:G9)</f>
        <v>0</v>
      </c>
    </row>
    <row r="40" spans="1:12" s="286" customFormat="1">
      <c r="A40" s="573"/>
      <c r="B40" s="569" t="s">
        <v>874</v>
      </c>
      <c r="C40" s="570">
        <f>IF(C38=0,0,-C39/C38)</f>
        <v>0</v>
      </c>
      <c r="D40" s="570">
        <f>IF(D38=0,0,-D39/D38)</f>
        <v>0</v>
      </c>
      <c r="E40" s="572">
        <f>IF(E38=0,0,-E39/E38)</f>
        <v>0</v>
      </c>
      <c r="F40" s="961">
        <f>-IF(F38=0,0,F39/F38)</f>
        <v>0</v>
      </c>
    </row>
    <row r="41" spans="1:12">
      <c r="A41" s="383" t="s">
        <v>875</v>
      </c>
      <c r="B41" s="285"/>
      <c r="C41" s="385">
        <f>C39+C38</f>
        <v>0</v>
      </c>
      <c r="D41" s="385">
        <f>D39+D38</f>
        <v>0</v>
      </c>
      <c r="E41" s="571">
        <f>E39+E38</f>
        <v>0</v>
      </c>
      <c r="F41" s="1555">
        <f>F39+F38</f>
        <v>0</v>
      </c>
    </row>
    <row r="42" spans="1:12">
      <c r="A42" s="383" t="s">
        <v>798</v>
      </c>
      <c r="B42" s="285"/>
      <c r="C42" s="385">
        <f>OpProforma!D70</f>
        <v>0</v>
      </c>
      <c r="D42" s="385">
        <f>OpProforma!E70</f>
        <v>0</v>
      </c>
      <c r="E42" s="571">
        <f>OpProforma!F70</f>
        <v>0</v>
      </c>
      <c r="F42" s="1556">
        <f>OpProforma!G70</f>
        <v>0</v>
      </c>
    </row>
    <row r="43" spans="1:12" s="286" customFormat="1" ht="13.5" thickBot="1">
      <c r="A43" s="586"/>
      <c r="B43" s="587" t="s">
        <v>276</v>
      </c>
      <c r="C43" s="588">
        <f>IF('Units&amp;Income'!$AV$94=0,0,C42/'Units&amp;Income'!$AV$94)</f>
        <v>0</v>
      </c>
      <c r="D43" s="588">
        <f>IF('Units&amp;Income'!$AV$94=0,0,D42/'Units&amp;Income'!$AV$94)</f>
        <v>0</v>
      </c>
      <c r="E43" s="589">
        <f>IF('Units&amp;Income'!$AV$94=0,0,E42/'Units&amp;Income'!$AV$94)</f>
        <v>0</v>
      </c>
      <c r="F43" s="960">
        <f>IF('Units&amp;Income'!$AV$94=0,0,F42/'Units&amp;Income'!$AV$94)</f>
        <v>0</v>
      </c>
    </row>
    <row r="44" spans="1:12" s="290" customFormat="1" ht="13.5" thickTop="1">
      <c r="A44" s="1557" t="s">
        <v>876</v>
      </c>
      <c r="B44" s="1340"/>
      <c r="C44" s="1538">
        <f>C41-C42</f>
        <v>0</v>
      </c>
      <c r="D44" s="1538">
        <f>D41-D42</f>
        <v>0</v>
      </c>
      <c r="E44" s="1558">
        <f>E41-E42</f>
        <v>0</v>
      </c>
      <c r="F44" s="1559">
        <f>F41-F42</f>
        <v>0</v>
      </c>
      <c r="G44" s="1094"/>
      <c r="H44" s="1094"/>
      <c r="I44" s="1094"/>
      <c r="J44" s="1094"/>
      <c r="K44" s="1094"/>
      <c r="L44" s="1094"/>
    </row>
    <row r="45" spans="1:12">
      <c r="A45" s="383" t="s">
        <v>799</v>
      </c>
      <c r="B45" s="285"/>
      <c r="C45" s="385">
        <f ca="1">OpProforma!D74</f>
        <v>0</v>
      </c>
      <c r="D45" s="385">
        <f ca="1">OpProforma!E74</f>
        <v>0</v>
      </c>
      <c r="E45" s="571">
        <f ca="1">OpProforma!F74</f>
        <v>0</v>
      </c>
      <c r="F45" s="1556">
        <f>OpProforma!G74</f>
        <v>0</v>
      </c>
    </row>
    <row r="46" spans="1:12">
      <c r="A46" s="383" t="s">
        <v>790</v>
      </c>
      <c r="B46" s="285"/>
      <c r="C46" s="385">
        <f ca="1">OpProforma!D76</f>
        <v>0</v>
      </c>
      <c r="D46" s="385">
        <f ca="1">OpProforma!E76</f>
        <v>0</v>
      </c>
      <c r="E46" s="571">
        <f ca="1">OpProforma!F76</f>
        <v>0</v>
      </c>
      <c r="F46" s="1556">
        <f>OpProforma!G76</f>
        <v>0</v>
      </c>
    </row>
    <row r="47" spans="1:12" ht="13.5" thickBot="1">
      <c r="A47" s="574" t="s">
        <v>864</v>
      </c>
      <c r="B47" s="575"/>
      <c r="C47" s="576" t="str">
        <f ca="1">OpProforma!D78</f>
        <v/>
      </c>
      <c r="D47" s="576" t="str">
        <f ca="1">OpProforma!E78</f>
        <v/>
      </c>
      <c r="E47" s="577" t="str">
        <f ca="1">OpProforma!F78</f>
        <v/>
      </c>
      <c r="F47" s="1560" t="str">
        <f>OpProforma!G78</f>
        <v/>
      </c>
    </row>
    <row r="49" spans="1:12">
      <c r="A49" s="1095" t="s">
        <v>877</v>
      </c>
    </row>
    <row r="50" spans="1:12">
      <c r="A50" s="1960"/>
      <c r="B50" s="1960"/>
      <c r="C50" s="1960"/>
      <c r="D50" s="1960"/>
      <c r="E50" s="1960"/>
      <c r="F50" s="1960"/>
      <c r="G50" s="1960"/>
      <c r="H50" s="1960"/>
      <c r="I50" s="1960"/>
      <c r="J50" s="1960"/>
      <c r="K50" s="1960"/>
      <c r="L50" s="1960"/>
    </row>
    <row r="51" spans="1:12">
      <c r="A51" s="1960"/>
      <c r="B51" s="1960"/>
      <c r="C51" s="1960"/>
      <c r="D51" s="1960"/>
      <c r="E51" s="1960"/>
      <c r="F51" s="1960"/>
      <c r="G51" s="1960"/>
      <c r="H51" s="1960"/>
      <c r="I51" s="1960"/>
      <c r="J51" s="1960"/>
      <c r="K51" s="1960"/>
      <c r="L51" s="1960"/>
    </row>
    <row r="52" spans="1:12">
      <c r="A52" s="1960"/>
      <c r="B52" s="1960"/>
      <c r="C52" s="1960"/>
      <c r="D52" s="1960"/>
      <c r="E52" s="1960"/>
      <c r="F52" s="1960"/>
      <c r="G52" s="1960"/>
      <c r="H52" s="1960"/>
      <c r="I52" s="1960"/>
      <c r="J52" s="1960"/>
      <c r="K52" s="1960"/>
      <c r="L52" s="1960"/>
    </row>
    <row r="53" spans="1:12">
      <c r="A53" s="1960"/>
      <c r="B53" s="1960"/>
      <c r="C53" s="1960"/>
      <c r="D53" s="1960"/>
      <c r="E53" s="1960"/>
      <c r="F53" s="1960"/>
      <c r="G53" s="1960"/>
      <c r="H53" s="1960"/>
      <c r="I53" s="1960"/>
      <c r="J53" s="1960"/>
      <c r="K53" s="1960"/>
      <c r="L53" s="1960"/>
    </row>
    <row r="54" spans="1:12">
      <c r="A54" s="1960"/>
      <c r="B54" s="1960"/>
      <c r="C54" s="1960"/>
      <c r="D54" s="1960"/>
      <c r="E54" s="1960"/>
      <c r="F54" s="1960"/>
      <c r="G54" s="1960"/>
      <c r="H54" s="1960"/>
      <c r="I54" s="1960"/>
      <c r="J54" s="1960"/>
      <c r="K54" s="1960"/>
      <c r="L54" s="1960"/>
    </row>
  </sheetData>
  <sheetProtection password="ED9D" sheet="1" objects="1" scenarios="1"/>
  <mergeCells count="24">
    <mergeCell ref="A1:K1"/>
    <mergeCell ref="C22:G22"/>
    <mergeCell ref="H22:L22"/>
    <mergeCell ref="D13:E13"/>
    <mergeCell ref="D16:E16"/>
    <mergeCell ref="D17:E17"/>
    <mergeCell ref="G13:H13"/>
    <mergeCell ref="A12:H12"/>
    <mergeCell ref="G17:H17"/>
    <mergeCell ref="G18:H18"/>
    <mergeCell ref="L18:L19"/>
    <mergeCell ref="J18:K19"/>
    <mergeCell ref="G14:H14"/>
    <mergeCell ref="G15:H15"/>
    <mergeCell ref="A50:L54"/>
    <mergeCell ref="D14:E14"/>
    <mergeCell ref="D15:E15"/>
    <mergeCell ref="C33:L34"/>
    <mergeCell ref="A33:B34"/>
    <mergeCell ref="G16:H16"/>
    <mergeCell ref="F36:F37"/>
    <mergeCell ref="D18:E18"/>
    <mergeCell ref="A36:E36"/>
    <mergeCell ref="C21:L21"/>
  </mergeCells>
  <phoneticPr fontId="53" type="noConversion"/>
  <dataValidations count="12">
    <dataValidation errorStyle="information" allowBlank="1" showErrorMessage="1" errorTitle="Select from the List" error="Choose an item from the list._x000a_No new items may be added." sqref="Z3:AC3" xr:uid="{00000000-0002-0000-0B00-000000000000}"/>
    <dataValidation type="whole" errorStyle="warning" allowBlank="1" errorTitle="Invalid Date" error="Both days and months must have 2 digits to be valid. Also, you must include a / mark after the month and days." promptTitle="Date" prompt="Enter a date in the following format: 01/08/03" sqref="L16" xr:uid="{00000000-0002-0000-0B00-000001000000}">
      <formula1>1</formula1>
      <formula2>20</formula2>
    </dataValidation>
    <dataValidation errorStyle="warning" allowBlank="1" errorTitle="Invalid Date" error="Both days and months must have 2 digits to be valid. Also, you must include a / mark after the month and days." promptTitle="Date" prompt="Enter a date in the following format: 01/08/03" sqref="V7 L15 V9" xr:uid="{00000000-0002-0000-0B00-000002000000}"/>
    <dataValidation allowBlank="1" showInputMessage="1" showErrorMessage="1" promptTitle="Affordability" prompt="The affordability restrictions are entered on the Units &amp; Income tab." sqref="M10:U11" xr:uid="{00000000-0002-0000-0B00-000003000000}"/>
    <dataValidation type="date" errorStyle="warning" allowBlank="1" showErrorMessage="1" errorTitle="Invalid Date" error="Both days and months must have 2 digits to be valid. Also, you must include a / mark after the month and days." promptTitle="Date" prompt="Enter a date in the following format: 01/08/03" sqref="L13:L14 V8 V4:V6" xr:uid="{00000000-0002-0000-0B00-000004000000}">
      <formula1>32874</formula1>
      <formula2>47848</formula2>
    </dataValidation>
    <dataValidation type="whole" errorStyle="information" allowBlank="1" showInputMessage="1" showErrorMessage="1" errorTitle="Valid Data" error="A whole number between 0 and 1,000,000 can be entered here. " promptTitle="Square Footage" prompt="This information was entered on the Setup Tab." sqref="L4:L9" xr:uid="{00000000-0002-0000-0B00-000005000000}">
      <formula1>0</formula1>
      <formula2>1000000</formula2>
    </dataValidation>
    <dataValidation allowBlank="1" showInputMessage="1" showErrorMessage="1" promptTitle="Project Overview" prompt="This information is entered on the Setup tab." sqref="C4:G10" xr:uid="{00000000-0002-0000-0B00-000006000000}"/>
    <dataValidation allowBlank="1" showInputMessage="1" showErrorMessage="1" promptTitle="Development Costs (Uses)" prompt="This is the sum of the information entered on the DevCosts tab." sqref="A12:H18" xr:uid="{00000000-0002-0000-0B00-000007000000}"/>
    <dataValidation allowBlank="1" showInputMessage="1" showErrorMessage="1" promptTitle="Existing &amp; Proposed Sources" prompt="This is a summary of all information entered on the Sources tab." sqref="A21:L32" xr:uid="{00000000-0002-0000-0B00-000008000000}"/>
    <dataValidation allowBlank="1" showInputMessage="1" showErrorMessage="1" promptTitle="Overall Comments" prompt="Enter any comments that help explain the overall financial picture/ nuances for this deal." sqref="A50:L54" xr:uid="{00000000-0002-0000-0B00-000009000000}"/>
    <dataValidation allowBlank="1" showInputMessage="1" showErrorMessage="1" promptTitle="Sources Comments" prompt="Enter any comments to help explain the summary of sources, above, if necessary." sqref="C33:L34" xr:uid="{00000000-0002-0000-0B00-00000A000000}"/>
    <dataValidation allowBlank="1" showInputMessage="1" showErrorMessage="1" promptTitle="Hist.&amp; Stabilized Operations" prompt="This information is taken from the Op_Costs tab and the OpProforma tab. " sqref="A36:F47" xr:uid="{00000000-0002-0000-0B00-00000B000000}"/>
  </dataValidations>
  <printOptions horizontalCentered="1"/>
  <pageMargins left="0.41" right="0.42" top="0.47" bottom="0.61" header="0.36" footer="0.24"/>
  <pageSetup scale="81"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HQ80"/>
  <sheetViews>
    <sheetView workbookViewId="0">
      <selection activeCell="BB25" sqref="BB25"/>
    </sheetView>
  </sheetViews>
  <sheetFormatPr defaultColWidth="9.140625" defaultRowHeight="12.75"/>
  <cols>
    <col min="1" max="1" width="30.28515625" style="284" customWidth="1"/>
    <col min="2" max="2" width="14" customWidth="1"/>
    <col min="3" max="3" width="15.140625" style="378" customWidth="1"/>
    <col min="4" max="4" width="15.140625" style="470" hidden="1" customWidth="1"/>
    <col min="5" max="7" width="15.140625" style="301" hidden="1" customWidth="1"/>
    <col min="8" max="8" width="15.140625" style="468" hidden="1" customWidth="1"/>
    <col min="9" max="9" width="15.140625" style="283" hidden="1" customWidth="1"/>
    <col min="10" max="11" width="15.140625" style="301" hidden="1" customWidth="1"/>
    <col min="12" max="12" width="15.140625" style="283" hidden="1" customWidth="1"/>
    <col min="13" max="13" width="15.140625" style="301" hidden="1" customWidth="1"/>
    <col min="14" max="14" width="15.140625" style="469" hidden="1" customWidth="1"/>
    <col min="15" max="52" width="15.140625" hidden="1" customWidth="1"/>
    <col min="53" max="53" width="15.140625" style="387" customWidth="1"/>
    <col min="54" max="225" width="9.140625" style="387"/>
    <col min="226" max="16384" width="9.140625" style="285"/>
  </cols>
  <sheetData>
    <row r="1" spans="1:225">
      <c r="A1" s="467" t="str">
        <f>Deal_Overview!D2</f>
        <v>Enter Project Name Here</v>
      </c>
      <c r="C1" s="1514"/>
      <c r="D1" s="1561"/>
      <c r="F1" s="1562"/>
      <c r="H1" s="1563"/>
      <c r="N1" s="1564"/>
    </row>
    <row r="3" spans="1:225" hidden="1">
      <c r="A3" s="1565" t="s">
        <v>878</v>
      </c>
      <c r="B3" s="1566">
        <f>Setup!D35</f>
        <v>1</v>
      </c>
      <c r="C3" s="1514"/>
      <c r="H3" s="1563"/>
      <c r="N3" s="1564"/>
    </row>
    <row r="4" spans="1:225" hidden="1">
      <c r="A4" s="1567"/>
      <c r="B4" s="1568"/>
      <c r="C4" s="471">
        <v>1</v>
      </c>
      <c r="D4" s="471">
        <v>2</v>
      </c>
      <c r="E4" s="471">
        <v>3</v>
      </c>
      <c r="F4" s="471">
        <v>4</v>
      </c>
      <c r="G4" s="471">
        <v>5</v>
      </c>
      <c r="H4" s="471">
        <v>6</v>
      </c>
      <c r="I4" s="471">
        <v>7</v>
      </c>
      <c r="J4" s="471">
        <v>8</v>
      </c>
      <c r="K4" s="471">
        <v>9</v>
      </c>
      <c r="L4" s="471">
        <v>10</v>
      </c>
      <c r="M4" s="471">
        <v>11</v>
      </c>
      <c r="N4" s="471">
        <v>12</v>
      </c>
      <c r="O4" s="471">
        <v>13</v>
      </c>
      <c r="P4" s="471">
        <v>14</v>
      </c>
      <c r="Q4" s="471">
        <v>15</v>
      </c>
      <c r="R4" s="471">
        <v>16</v>
      </c>
      <c r="S4" s="471">
        <v>17</v>
      </c>
      <c r="T4" s="471">
        <v>18</v>
      </c>
      <c r="U4" s="471">
        <v>19</v>
      </c>
      <c r="V4" s="471">
        <v>20</v>
      </c>
      <c r="W4" s="471">
        <v>21</v>
      </c>
      <c r="X4" s="471">
        <v>22</v>
      </c>
      <c r="Y4" s="471">
        <v>23</v>
      </c>
      <c r="Z4" s="471">
        <v>24</v>
      </c>
      <c r="AA4" s="471">
        <v>25</v>
      </c>
      <c r="AB4" s="471">
        <v>26</v>
      </c>
      <c r="AC4" s="471">
        <v>27</v>
      </c>
      <c r="AD4" s="471">
        <v>28</v>
      </c>
      <c r="AE4" s="471">
        <v>29</v>
      </c>
      <c r="AF4" s="471">
        <v>30</v>
      </c>
      <c r="AG4" s="471">
        <v>31</v>
      </c>
      <c r="AH4" s="471">
        <v>32</v>
      </c>
      <c r="AI4" s="471">
        <v>33</v>
      </c>
      <c r="AJ4" s="471">
        <v>34</v>
      </c>
      <c r="AK4" s="471">
        <v>35</v>
      </c>
      <c r="AL4" s="471">
        <v>36</v>
      </c>
      <c r="AM4" s="471">
        <v>37</v>
      </c>
      <c r="AN4" s="471">
        <v>38</v>
      </c>
      <c r="AO4" s="471">
        <v>39</v>
      </c>
      <c r="AP4" s="471">
        <v>40</v>
      </c>
      <c r="AQ4" s="471">
        <v>41</v>
      </c>
      <c r="AR4" s="471">
        <v>42</v>
      </c>
      <c r="AS4" s="471">
        <v>43</v>
      </c>
      <c r="AT4" s="471">
        <v>44</v>
      </c>
      <c r="AU4" s="471">
        <v>45</v>
      </c>
      <c r="AV4" s="471">
        <v>46</v>
      </c>
      <c r="AW4" s="471">
        <v>47</v>
      </c>
      <c r="AX4" s="471">
        <v>48</v>
      </c>
      <c r="AY4" s="471">
        <v>49</v>
      </c>
      <c r="AZ4" s="471">
        <v>50</v>
      </c>
    </row>
    <row r="5" spans="1:225" s="288" customFormat="1">
      <c r="A5" s="1330" t="s">
        <v>879</v>
      </c>
      <c r="B5" s="1569" t="s">
        <v>725</v>
      </c>
      <c r="C5" s="1569">
        <f>IF($B$3&gt;0,1,"")</f>
        <v>1</v>
      </c>
      <c r="D5" s="1569" t="str">
        <f>IF($B$3&gt;C4,C5+1,"")</f>
        <v/>
      </c>
      <c r="E5" s="1569" t="str">
        <f>IF($B$3&gt;D4,D5+1,"")</f>
        <v/>
      </c>
      <c r="F5" s="1569" t="str">
        <f>IF($B$3&gt;E4,E5+1,"")</f>
        <v/>
      </c>
      <c r="G5" s="1569" t="str">
        <f>IF($B$3&gt;F4,F5+1,"")</f>
        <v/>
      </c>
      <c r="H5" s="1569" t="str">
        <f>IF($B$3&gt;G4,G5+1,"")</f>
        <v/>
      </c>
      <c r="I5" s="1569" t="str">
        <f t="shared" ref="I5:AZ5" si="0">IF($B$3&gt;H4,H5+1,"")</f>
        <v/>
      </c>
      <c r="J5" s="1569" t="str">
        <f t="shared" si="0"/>
        <v/>
      </c>
      <c r="K5" s="1569" t="str">
        <f t="shared" si="0"/>
        <v/>
      </c>
      <c r="L5" s="1569" t="str">
        <f t="shared" si="0"/>
        <v/>
      </c>
      <c r="M5" s="1569" t="str">
        <f t="shared" si="0"/>
        <v/>
      </c>
      <c r="N5" s="1569" t="str">
        <f t="shared" si="0"/>
        <v/>
      </c>
      <c r="O5" s="1569" t="str">
        <f t="shared" si="0"/>
        <v/>
      </c>
      <c r="P5" s="1569" t="str">
        <f t="shared" si="0"/>
        <v/>
      </c>
      <c r="Q5" s="1569" t="str">
        <f t="shared" si="0"/>
        <v/>
      </c>
      <c r="R5" s="1569" t="str">
        <f t="shared" si="0"/>
        <v/>
      </c>
      <c r="S5" s="1569" t="str">
        <f t="shared" si="0"/>
        <v/>
      </c>
      <c r="T5" s="1569" t="str">
        <f t="shared" si="0"/>
        <v/>
      </c>
      <c r="U5" s="1569" t="str">
        <f t="shared" si="0"/>
        <v/>
      </c>
      <c r="V5" s="1569" t="str">
        <f t="shared" si="0"/>
        <v/>
      </c>
      <c r="W5" s="1569" t="str">
        <f t="shared" si="0"/>
        <v/>
      </c>
      <c r="X5" s="1569" t="str">
        <f t="shared" si="0"/>
        <v/>
      </c>
      <c r="Y5" s="1569" t="str">
        <f t="shared" si="0"/>
        <v/>
      </c>
      <c r="Z5" s="1569" t="str">
        <f t="shared" si="0"/>
        <v/>
      </c>
      <c r="AA5" s="1569" t="str">
        <f t="shared" si="0"/>
        <v/>
      </c>
      <c r="AB5" s="1569" t="str">
        <f t="shared" si="0"/>
        <v/>
      </c>
      <c r="AC5" s="1569" t="str">
        <f t="shared" si="0"/>
        <v/>
      </c>
      <c r="AD5" s="1569" t="str">
        <f t="shared" si="0"/>
        <v/>
      </c>
      <c r="AE5" s="1569" t="str">
        <f t="shared" si="0"/>
        <v/>
      </c>
      <c r="AF5" s="1569" t="str">
        <f t="shared" si="0"/>
        <v/>
      </c>
      <c r="AG5" s="1569" t="str">
        <f t="shared" si="0"/>
        <v/>
      </c>
      <c r="AH5" s="1569" t="str">
        <f t="shared" si="0"/>
        <v/>
      </c>
      <c r="AI5" s="1569" t="str">
        <f t="shared" si="0"/>
        <v/>
      </c>
      <c r="AJ5" s="1569" t="str">
        <f t="shared" si="0"/>
        <v/>
      </c>
      <c r="AK5" s="1569" t="str">
        <f t="shared" si="0"/>
        <v/>
      </c>
      <c r="AL5" s="1569" t="str">
        <f t="shared" si="0"/>
        <v/>
      </c>
      <c r="AM5" s="1569" t="str">
        <f t="shared" si="0"/>
        <v/>
      </c>
      <c r="AN5" s="1569" t="str">
        <f t="shared" si="0"/>
        <v/>
      </c>
      <c r="AO5" s="1569" t="str">
        <f t="shared" si="0"/>
        <v/>
      </c>
      <c r="AP5" s="1569" t="str">
        <f t="shared" si="0"/>
        <v/>
      </c>
      <c r="AQ5" s="1569" t="str">
        <f t="shared" si="0"/>
        <v/>
      </c>
      <c r="AR5" s="1569" t="str">
        <f t="shared" si="0"/>
        <v/>
      </c>
      <c r="AS5" s="1569" t="str">
        <f t="shared" si="0"/>
        <v/>
      </c>
      <c r="AT5" s="1569" t="str">
        <f t="shared" si="0"/>
        <v/>
      </c>
      <c r="AU5" s="1569" t="str">
        <f t="shared" si="0"/>
        <v/>
      </c>
      <c r="AV5" s="1569" t="str">
        <f t="shared" si="0"/>
        <v/>
      </c>
      <c r="AW5" s="1569" t="str">
        <f t="shared" si="0"/>
        <v/>
      </c>
      <c r="AX5" s="1569" t="str">
        <f t="shared" si="0"/>
        <v/>
      </c>
      <c r="AY5" s="1569" t="str">
        <f t="shared" si="0"/>
        <v/>
      </c>
      <c r="AZ5" s="1569" t="str">
        <f t="shared" si="0"/>
        <v/>
      </c>
      <c r="BA5" s="1570"/>
      <c r="BB5" s="1570"/>
      <c r="BC5" s="1570"/>
      <c r="BD5" s="1570"/>
      <c r="BE5" s="1570"/>
      <c r="BF5" s="1570"/>
      <c r="BG5" s="1570"/>
      <c r="BH5" s="1570"/>
      <c r="BI5" s="1570"/>
      <c r="BJ5" s="1570"/>
      <c r="BK5" s="1570"/>
      <c r="BL5" s="1570"/>
      <c r="BM5" s="1570"/>
      <c r="BN5" s="1570"/>
      <c r="BO5" s="1570"/>
      <c r="BP5" s="1570"/>
      <c r="BQ5" s="1570"/>
      <c r="BR5" s="1570"/>
      <c r="BS5" s="1570"/>
      <c r="BT5" s="1570"/>
      <c r="BU5" s="1570"/>
      <c r="BV5" s="1570"/>
      <c r="BW5" s="1570"/>
      <c r="BX5" s="1570"/>
      <c r="BY5" s="1570"/>
      <c r="BZ5" s="1570"/>
      <c r="CA5" s="1570"/>
      <c r="CB5" s="1570"/>
      <c r="CC5" s="1570"/>
      <c r="CD5" s="1570"/>
      <c r="CE5" s="1570"/>
      <c r="CF5" s="1570"/>
      <c r="CG5" s="1570"/>
      <c r="CH5" s="1570"/>
      <c r="CI5" s="1570"/>
      <c r="CJ5" s="1570"/>
      <c r="CK5" s="1570"/>
      <c r="CL5" s="1570"/>
      <c r="CM5" s="1570"/>
      <c r="CN5" s="1570"/>
      <c r="CO5" s="1570"/>
      <c r="CP5" s="1570"/>
      <c r="CQ5" s="1570"/>
      <c r="CR5" s="1570"/>
      <c r="CS5" s="1570"/>
      <c r="CT5" s="1570"/>
      <c r="CU5" s="1570"/>
      <c r="CV5" s="1570"/>
      <c r="CW5" s="1570"/>
      <c r="CX5" s="1570"/>
      <c r="CY5" s="1570"/>
      <c r="CZ5" s="1570"/>
      <c r="DA5" s="1570"/>
      <c r="DB5" s="1570"/>
      <c r="DC5" s="1570"/>
      <c r="DD5" s="1570"/>
      <c r="DE5" s="1570"/>
      <c r="DF5" s="1570"/>
      <c r="DG5" s="1570"/>
      <c r="DH5" s="1570"/>
      <c r="DI5" s="1570"/>
      <c r="DJ5" s="1570"/>
      <c r="DK5" s="1570"/>
      <c r="DL5" s="1570"/>
      <c r="DM5" s="1570"/>
      <c r="DN5" s="1570"/>
      <c r="DO5" s="1570"/>
      <c r="DP5" s="1570"/>
      <c r="DQ5" s="1570"/>
      <c r="DR5" s="1570"/>
      <c r="DS5" s="1570"/>
      <c r="DT5" s="1570"/>
      <c r="DU5" s="1570"/>
      <c r="DV5" s="1570"/>
      <c r="DW5" s="1570"/>
      <c r="DX5" s="1570"/>
      <c r="DY5" s="1570"/>
      <c r="DZ5" s="1570"/>
      <c r="EA5" s="1570"/>
      <c r="EB5" s="1570"/>
      <c r="EC5" s="1570"/>
      <c r="ED5" s="1570"/>
      <c r="EE5" s="1570"/>
      <c r="EF5" s="1570"/>
      <c r="EG5" s="1570"/>
      <c r="EH5" s="1570"/>
      <c r="EI5" s="1570"/>
      <c r="EJ5" s="1570"/>
      <c r="EK5" s="1570"/>
      <c r="EL5" s="1570"/>
      <c r="EM5" s="1570"/>
      <c r="EN5" s="1570"/>
      <c r="EO5" s="1570"/>
      <c r="EP5" s="1570"/>
      <c r="EQ5" s="1570"/>
      <c r="ER5" s="1570"/>
      <c r="ES5" s="1570"/>
      <c r="ET5" s="1570"/>
      <c r="EU5" s="1570"/>
      <c r="EV5" s="1570"/>
      <c r="EW5" s="1570"/>
      <c r="EX5" s="1570"/>
      <c r="EY5" s="1570"/>
      <c r="EZ5" s="1570"/>
      <c r="FA5" s="1570"/>
      <c r="FB5" s="1570"/>
      <c r="FC5" s="1570"/>
      <c r="FD5" s="1570"/>
      <c r="FE5" s="1570"/>
      <c r="FF5" s="1570"/>
      <c r="FG5" s="1570"/>
      <c r="FH5" s="1570"/>
      <c r="FI5" s="1570"/>
      <c r="FJ5" s="1570"/>
      <c r="FK5" s="1570"/>
      <c r="FL5" s="1570"/>
      <c r="FM5" s="1570"/>
      <c r="FN5" s="1570"/>
      <c r="FO5" s="1570"/>
      <c r="FP5" s="1570"/>
      <c r="FQ5" s="1570"/>
      <c r="FR5" s="1570"/>
      <c r="FS5" s="1570"/>
      <c r="FT5" s="1570"/>
      <c r="FU5" s="1570"/>
      <c r="FV5" s="1570"/>
      <c r="FW5" s="1570"/>
      <c r="FX5" s="1570"/>
      <c r="FY5" s="1570"/>
      <c r="FZ5" s="1570"/>
      <c r="GA5" s="1570"/>
      <c r="GB5" s="1570"/>
      <c r="GC5" s="1570"/>
      <c r="GD5" s="1570"/>
      <c r="GE5" s="1570"/>
      <c r="GF5" s="1570"/>
      <c r="GG5" s="1570"/>
      <c r="GH5" s="1570"/>
      <c r="GI5" s="1570"/>
      <c r="GJ5" s="1570"/>
      <c r="GK5" s="1570"/>
      <c r="GL5" s="1570"/>
      <c r="GM5" s="1570"/>
      <c r="GN5" s="1570"/>
      <c r="GO5" s="1570"/>
      <c r="GP5" s="1570"/>
      <c r="GQ5" s="1570"/>
      <c r="GR5" s="1570"/>
      <c r="GS5" s="1570"/>
      <c r="GT5" s="1570"/>
      <c r="GU5" s="1570"/>
      <c r="GV5" s="1570"/>
      <c r="GW5" s="1570"/>
      <c r="GX5" s="1570"/>
      <c r="GY5" s="1570"/>
      <c r="GZ5" s="1570"/>
      <c r="HA5" s="1570"/>
      <c r="HB5" s="1570"/>
      <c r="HC5" s="1570"/>
      <c r="HD5" s="1570"/>
      <c r="HE5" s="1570"/>
      <c r="HF5" s="1570"/>
      <c r="HG5" s="1570"/>
      <c r="HH5" s="1570"/>
      <c r="HI5" s="1570"/>
      <c r="HJ5" s="1570"/>
      <c r="HK5" s="1570"/>
      <c r="HL5" s="1570"/>
      <c r="HM5" s="1570"/>
      <c r="HN5" s="1570"/>
      <c r="HO5" s="1570"/>
      <c r="HP5" s="1570"/>
      <c r="HQ5" s="1570"/>
    </row>
    <row r="6" spans="1:225">
      <c r="A6" s="1330" t="s">
        <v>880</v>
      </c>
      <c r="B6" s="1571"/>
      <c r="C6" s="472" t="str">
        <f>IF(C5=C4,"Building #1","")</f>
        <v>Building #1</v>
      </c>
      <c r="D6" s="472" t="str">
        <f>IF(D5=D4,"Building #2","")</f>
        <v/>
      </c>
      <c r="E6" s="472" t="str">
        <f>IF(E5=E4,"Building #3","")</f>
        <v/>
      </c>
      <c r="F6" s="472" t="str">
        <f>IF(F5=F4,"Building #4","")</f>
        <v/>
      </c>
      <c r="G6" s="472" t="str">
        <f>IF(G5=G4,"Building #5","")</f>
        <v/>
      </c>
      <c r="H6" s="472" t="str">
        <f>IF(H5=H4,"Building #6","")</f>
        <v/>
      </c>
      <c r="I6" s="472" t="str">
        <f>IF(I5=I4,"Building #7","")</f>
        <v/>
      </c>
      <c r="J6" s="472" t="str">
        <f>IF(J5=J4,"Building #8","")</f>
        <v/>
      </c>
      <c r="K6" s="472" t="str">
        <f>IF(K5=K4,"Building #9","")</f>
        <v/>
      </c>
      <c r="L6" s="472" t="str">
        <f>IF(L5=L4,"Building #10","")</f>
        <v/>
      </c>
      <c r="M6" s="472" t="str">
        <f>IF(M5=M4,"Building #11","")</f>
        <v/>
      </c>
      <c r="N6" s="472" t="str">
        <f>IF(N5=N4,"Building #12","")</f>
        <v/>
      </c>
      <c r="O6" s="472" t="str">
        <f>IF(O5=O4,"Building #13","")</f>
        <v/>
      </c>
      <c r="P6" s="472" t="str">
        <f>IF(P5=P4,"Building #14","")</f>
        <v/>
      </c>
      <c r="Q6" s="472" t="str">
        <f>IF(Q5=Q4,"Building #15","")</f>
        <v/>
      </c>
      <c r="R6" s="472" t="str">
        <f>IF(R5=R4,"Building #16","")</f>
        <v/>
      </c>
      <c r="S6" s="472" t="str">
        <f>IF(S5=S4,"Building #17","")</f>
        <v/>
      </c>
      <c r="T6" s="472" t="str">
        <f>IF(T5=T4,"Building #18","")</f>
        <v/>
      </c>
      <c r="U6" s="472" t="str">
        <f>IF(U5=U4,"Building #19","")</f>
        <v/>
      </c>
      <c r="V6" s="472" t="str">
        <f>IF(V5=V4,"Building #20","")</f>
        <v/>
      </c>
      <c r="W6" s="472" t="str">
        <f>IF(W5=W4,"Building #21","")</f>
        <v/>
      </c>
      <c r="X6" s="472" t="str">
        <f>IF(X5=X4,"Building #22","")</f>
        <v/>
      </c>
      <c r="Y6" s="472" t="str">
        <f>IF(Y5=Y4,"Building #23","")</f>
        <v/>
      </c>
      <c r="Z6" s="472" t="str">
        <f>IF(Z5=Z4,"Building #24","")</f>
        <v/>
      </c>
      <c r="AA6" s="472" t="str">
        <f>IF(AA5=AA4,"Building #25","")</f>
        <v/>
      </c>
      <c r="AB6" s="472" t="str">
        <f>IF(AB5=AB4,"Building #26","")</f>
        <v/>
      </c>
      <c r="AC6" s="472" t="str">
        <f>IF(AC5=AC4,"Building #27","")</f>
        <v/>
      </c>
      <c r="AD6" s="472" t="str">
        <f>IF(AD5=AD4,"Building #28","")</f>
        <v/>
      </c>
      <c r="AE6" s="472" t="str">
        <f>IF(AE5=AE4,"Building #29","")</f>
        <v/>
      </c>
      <c r="AF6" s="472" t="str">
        <f>IF(AF5=AF4,"Building #30","")</f>
        <v/>
      </c>
      <c r="AG6" s="472" t="str">
        <f>IF(AG5=AG4,"Building #31","")</f>
        <v/>
      </c>
      <c r="AH6" s="472" t="str">
        <f>IF(AH5=AH4,"Building #32","")</f>
        <v/>
      </c>
      <c r="AI6" s="472" t="str">
        <f>IF(AI5=AI4,"Building #33","")</f>
        <v/>
      </c>
      <c r="AJ6" s="472" t="str">
        <f>IF(AJ5=AJ4,"Building #34","")</f>
        <v/>
      </c>
      <c r="AK6" s="472" t="str">
        <f>IF(AK5=AK4,"Building #35","")</f>
        <v/>
      </c>
      <c r="AL6" s="472" t="str">
        <f>IF(AL5=AL4,"Building #36","")</f>
        <v/>
      </c>
      <c r="AM6" s="472" t="str">
        <f>IF(AM5=AM4,"Building #37","")</f>
        <v/>
      </c>
      <c r="AN6" s="472" t="str">
        <f>IF(AN5=AN4,"Building #38","")</f>
        <v/>
      </c>
      <c r="AO6" s="472" t="str">
        <f>IF(AO5=AO4,"Building #39","")</f>
        <v/>
      </c>
      <c r="AP6" s="472" t="str">
        <f>IF(AP5=AP4,"Building #40","")</f>
        <v/>
      </c>
      <c r="AQ6" s="472" t="str">
        <f>IF(AQ5=AQ4,"Building #41","")</f>
        <v/>
      </c>
      <c r="AR6" s="472" t="str">
        <f>IF(AR5=AR4,"Building #42","")</f>
        <v/>
      </c>
      <c r="AS6" s="472" t="str">
        <f>IF(AS5=AS4,"Building #43","")</f>
        <v/>
      </c>
      <c r="AT6" s="472" t="str">
        <f>IF(AT5=AT4,"Building #44","")</f>
        <v/>
      </c>
      <c r="AU6" s="472" t="str">
        <f>IF(AU5=AU4,"Building #45","")</f>
        <v/>
      </c>
      <c r="AV6" s="472" t="str">
        <f>IF(AV5=AV4,"Building #46","")</f>
        <v/>
      </c>
      <c r="AW6" s="472" t="str">
        <f>IF(AW5=AW4,"Building #47","")</f>
        <v/>
      </c>
      <c r="AX6" s="472" t="str">
        <f>IF(AX5=AX4,"Building #48","")</f>
        <v/>
      </c>
      <c r="AY6" s="472" t="str">
        <f>IF(AY5=AY4,"Building #49","")</f>
        <v/>
      </c>
      <c r="AZ6" s="472" t="str">
        <f>IF(AZ5=AZ4,"Building #50","")</f>
        <v/>
      </c>
    </row>
    <row r="7" spans="1:225">
      <c r="A7" s="1572" t="s">
        <v>881</v>
      </c>
      <c r="B7" s="1573"/>
      <c r="C7" s="473" t="str">
        <f>Setup!$D$41</f>
        <v>Walk-Ups</v>
      </c>
      <c r="D7" s="473" t="str">
        <f>Setup!$D$41</f>
        <v>Walk-Ups</v>
      </c>
      <c r="E7" s="473" t="str">
        <f>Setup!$D$41</f>
        <v>Walk-Ups</v>
      </c>
      <c r="F7" s="473" t="str">
        <f>Setup!$D$41</f>
        <v>Walk-Ups</v>
      </c>
      <c r="G7" s="473" t="str">
        <f>Setup!$D$41</f>
        <v>Walk-Ups</v>
      </c>
      <c r="H7" s="473" t="str">
        <f>Setup!$D$41</f>
        <v>Walk-Ups</v>
      </c>
      <c r="I7" s="473" t="str">
        <f>Setup!$D$41</f>
        <v>Walk-Ups</v>
      </c>
      <c r="J7" s="473" t="str">
        <f>Setup!$D$41</f>
        <v>Walk-Ups</v>
      </c>
      <c r="K7" s="473" t="str">
        <f>Setup!$D$41</f>
        <v>Walk-Ups</v>
      </c>
      <c r="L7" s="473" t="str">
        <f>Setup!$D$41</f>
        <v>Walk-Ups</v>
      </c>
      <c r="M7" s="473" t="str">
        <f>Setup!$D$41</f>
        <v>Walk-Ups</v>
      </c>
      <c r="N7" s="473" t="str">
        <f>Setup!$D$41</f>
        <v>Walk-Ups</v>
      </c>
      <c r="O7" s="473" t="str">
        <f>Setup!$D$41</f>
        <v>Walk-Ups</v>
      </c>
      <c r="P7" s="473" t="str">
        <f>Setup!$D$41</f>
        <v>Walk-Ups</v>
      </c>
      <c r="Q7" s="473" t="str">
        <f>Setup!$D$41</f>
        <v>Walk-Ups</v>
      </c>
      <c r="R7" s="473" t="str">
        <f>Setup!$D$41</f>
        <v>Walk-Ups</v>
      </c>
      <c r="S7" s="473" t="str">
        <f>Setup!$D$41</f>
        <v>Walk-Ups</v>
      </c>
      <c r="T7" s="473" t="str">
        <f>Setup!$D$41</f>
        <v>Walk-Ups</v>
      </c>
      <c r="U7" s="473" t="str">
        <f>Setup!$D$41</f>
        <v>Walk-Ups</v>
      </c>
      <c r="V7" s="473" t="str">
        <f>Setup!$D$41</f>
        <v>Walk-Ups</v>
      </c>
      <c r="W7" s="473" t="str">
        <f>Setup!$D$41</f>
        <v>Walk-Ups</v>
      </c>
      <c r="X7" s="473" t="str">
        <f>Setup!$D$41</f>
        <v>Walk-Ups</v>
      </c>
      <c r="Y7" s="473" t="str">
        <f>Setup!$D$41</f>
        <v>Walk-Ups</v>
      </c>
      <c r="Z7" s="473" t="str">
        <f>Setup!$D$41</f>
        <v>Walk-Ups</v>
      </c>
      <c r="AA7" s="473" t="str">
        <f>Setup!$D$41</f>
        <v>Walk-Ups</v>
      </c>
      <c r="AB7" s="473" t="str">
        <f>Setup!$D$41</f>
        <v>Walk-Ups</v>
      </c>
      <c r="AC7" s="473" t="str">
        <f>Setup!$D$41</f>
        <v>Walk-Ups</v>
      </c>
      <c r="AD7" s="473" t="str">
        <f>Setup!$D$41</f>
        <v>Walk-Ups</v>
      </c>
      <c r="AE7" s="473" t="str">
        <f>Setup!$D$41</f>
        <v>Walk-Ups</v>
      </c>
      <c r="AF7" s="473" t="str">
        <f>Setup!$D$41</f>
        <v>Walk-Ups</v>
      </c>
      <c r="AG7" s="473" t="str">
        <f>Setup!$D$41</f>
        <v>Walk-Ups</v>
      </c>
      <c r="AH7" s="473" t="str">
        <f>Setup!$D$41</f>
        <v>Walk-Ups</v>
      </c>
      <c r="AI7" s="473" t="str">
        <f>Setup!$D$41</f>
        <v>Walk-Ups</v>
      </c>
      <c r="AJ7" s="473" t="str">
        <f>Setup!$D$41</f>
        <v>Walk-Ups</v>
      </c>
      <c r="AK7" s="473" t="str">
        <f>Setup!$D$41</f>
        <v>Walk-Ups</v>
      </c>
      <c r="AL7" s="473" t="str">
        <f>Setup!$D$41</f>
        <v>Walk-Ups</v>
      </c>
      <c r="AM7" s="473" t="str">
        <f>Setup!$D$41</f>
        <v>Walk-Ups</v>
      </c>
      <c r="AN7" s="473" t="str">
        <f>Setup!$D$41</f>
        <v>Walk-Ups</v>
      </c>
      <c r="AO7" s="473" t="str">
        <f>Setup!$D$41</f>
        <v>Walk-Ups</v>
      </c>
      <c r="AP7" s="473" t="str">
        <f>Setup!$D$41</f>
        <v>Walk-Ups</v>
      </c>
      <c r="AQ7" s="473" t="str">
        <f>Setup!$D$41</f>
        <v>Walk-Ups</v>
      </c>
      <c r="AR7" s="473" t="str">
        <f>Setup!$D$41</f>
        <v>Walk-Ups</v>
      </c>
      <c r="AS7" s="473" t="str">
        <f>Setup!$D$41</f>
        <v>Walk-Ups</v>
      </c>
      <c r="AT7" s="473" t="str">
        <f>Setup!$D$41</f>
        <v>Walk-Ups</v>
      </c>
      <c r="AU7" s="473" t="str">
        <f>Setup!$D$41</f>
        <v>Walk-Ups</v>
      </c>
      <c r="AV7" s="473" t="str">
        <f>Setup!$D$41</f>
        <v>Walk-Ups</v>
      </c>
      <c r="AW7" s="473" t="str">
        <f>Setup!$D$41</f>
        <v>Walk-Ups</v>
      </c>
      <c r="AX7" s="473" t="str">
        <f>Setup!$D$41</f>
        <v>Walk-Ups</v>
      </c>
      <c r="AY7" s="473" t="str">
        <f>Setup!$D$41</f>
        <v>Walk-Ups</v>
      </c>
      <c r="AZ7" s="473" t="str">
        <f>Setup!$D$41</f>
        <v>Walk-Ups</v>
      </c>
    </row>
    <row r="8" spans="1:225">
      <c r="A8" s="1330" t="s">
        <v>882</v>
      </c>
      <c r="B8" s="1571"/>
      <c r="C8" s="472">
        <f>Setup!D36</f>
        <v>0</v>
      </c>
      <c r="D8" s="472">
        <f>C8</f>
        <v>0</v>
      </c>
      <c r="E8" s="472">
        <f t="shared" ref="E8:AZ8" si="1">D8</f>
        <v>0</v>
      </c>
      <c r="F8" s="472">
        <f t="shared" si="1"/>
        <v>0</v>
      </c>
      <c r="G8" s="472">
        <f t="shared" si="1"/>
        <v>0</v>
      </c>
      <c r="H8" s="472">
        <f t="shared" si="1"/>
        <v>0</v>
      </c>
      <c r="I8" s="472">
        <f t="shared" si="1"/>
        <v>0</v>
      </c>
      <c r="J8" s="472">
        <f t="shared" si="1"/>
        <v>0</v>
      </c>
      <c r="K8" s="472">
        <f t="shared" si="1"/>
        <v>0</v>
      </c>
      <c r="L8" s="472">
        <f t="shared" si="1"/>
        <v>0</v>
      </c>
      <c r="M8" s="472">
        <f t="shared" si="1"/>
        <v>0</v>
      </c>
      <c r="N8" s="472">
        <f t="shared" si="1"/>
        <v>0</v>
      </c>
      <c r="O8" s="472">
        <f t="shared" si="1"/>
        <v>0</v>
      </c>
      <c r="P8" s="472">
        <f t="shared" si="1"/>
        <v>0</v>
      </c>
      <c r="Q8" s="472">
        <f t="shared" si="1"/>
        <v>0</v>
      </c>
      <c r="R8" s="472">
        <f t="shared" si="1"/>
        <v>0</v>
      </c>
      <c r="S8" s="472">
        <f t="shared" si="1"/>
        <v>0</v>
      </c>
      <c r="T8" s="472">
        <f t="shared" si="1"/>
        <v>0</v>
      </c>
      <c r="U8" s="472">
        <f t="shared" si="1"/>
        <v>0</v>
      </c>
      <c r="V8" s="472">
        <f t="shared" si="1"/>
        <v>0</v>
      </c>
      <c r="W8" s="472">
        <f t="shared" si="1"/>
        <v>0</v>
      </c>
      <c r="X8" s="472">
        <f t="shared" si="1"/>
        <v>0</v>
      </c>
      <c r="Y8" s="472">
        <f t="shared" si="1"/>
        <v>0</v>
      </c>
      <c r="Z8" s="472">
        <f t="shared" si="1"/>
        <v>0</v>
      </c>
      <c r="AA8" s="472">
        <f t="shared" si="1"/>
        <v>0</v>
      </c>
      <c r="AB8" s="472">
        <f t="shared" si="1"/>
        <v>0</v>
      </c>
      <c r="AC8" s="472">
        <f t="shared" si="1"/>
        <v>0</v>
      </c>
      <c r="AD8" s="472">
        <f t="shared" si="1"/>
        <v>0</v>
      </c>
      <c r="AE8" s="472">
        <f t="shared" si="1"/>
        <v>0</v>
      </c>
      <c r="AF8" s="472">
        <f t="shared" si="1"/>
        <v>0</v>
      </c>
      <c r="AG8" s="472">
        <f t="shared" si="1"/>
        <v>0</v>
      </c>
      <c r="AH8" s="472">
        <f t="shared" si="1"/>
        <v>0</v>
      </c>
      <c r="AI8" s="472">
        <f t="shared" si="1"/>
        <v>0</v>
      </c>
      <c r="AJ8" s="472">
        <f t="shared" si="1"/>
        <v>0</v>
      </c>
      <c r="AK8" s="472">
        <f t="shared" si="1"/>
        <v>0</v>
      </c>
      <c r="AL8" s="472">
        <f t="shared" si="1"/>
        <v>0</v>
      </c>
      <c r="AM8" s="472">
        <f t="shared" si="1"/>
        <v>0</v>
      </c>
      <c r="AN8" s="472">
        <f t="shared" si="1"/>
        <v>0</v>
      </c>
      <c r="AO8" s="472">
        <f t="shared" si="1"/>
        <v>0</v>
      </c>
      <c r="AP8" s="472">
        <f t="shared" si="1"/>
        <v>0</v>
      </c>
      <c r="AQ8" s="472">
        <f t="shared" si="1"/>
        <v>0</v>
      </c>
      <c r="AR8" s="472">
        <f t="shared" si="1"/>
        <v>0</v>
      </c>
      <c r="AS8" s="472">
        <f t="shared" si="1"/>
        <v>0</v>
      </c>
      <c r="AT8" s="472">
        <f t="shared" si="1"/>
        <v>0</v>
      </c>
      <c r="AU8" s="472">
        <f t="shared" si="1"/>
        <v>0</v>
      </c>
      <c r="AV8" s="472">
        <f t="shared" si="1"/>
        <v>0</v>
      </c>
      <c r="AW8" s="472">
        <f t="shared" si="1"/>
        <v>0</v>
      </c>
      <c r="AX8" s="472">
        <f t="shared" si="1"/>
        <v>0</v>
      </c>
      <c r="AY8" s="472">
        <f t="shared" si="1"/>
        <v>0</v>
      </c>
      <c r="AZ8" s="472">
        <f t="shared" si="1"/>
        <v>0</v>
      </c>
    </row>
    <row r="9" spans="1:225" s="387" customFormat="1">
      <c r="A9" s="1574"/>
      <c r="B9" s="1575"/>
      <c r="C9" s="474"/>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74"/>
      <c r="AD9" s="474"/>
      <c r="AE9" s="474"/>
      <c r="AF9" s="474"/>
      <c r="AG9" s="474"/>
      <c r="AH9" s="474"/>
      <c r="AI9" s="474"/>
      <c r="AJ9" s="474"/>
      <c r="AK9" s="474"/>
      <c r="AL9" s="474"/>
      <c r="AM9" s="474"/>
      <c r="AN9" s="474"/>
      <c r="AO9" s="474"/>
      <c r="AP9" s="474"/>
      <c r="AQ9" s="474"/>
      <c r="AR9" s="474"/>
      <c r="AS9" s="474"/>
      <c r="AT9" s="474"/>
      <c r="AU9" s="474"/>
      <c r="AV9" s="474"/>
      <c r="AW9" s="474"/>
      <c r="AX9" s="474"/>
      <c r="AY9" s="474"/>
      <c r="AZ9" s="474"/>
    </row>
    <row r="10" spans="1:225" s="476" customFormat="1">
      <c r="A10" s="1576" t="s">
        <v>883</v>
      </c>
      <c r="B10" s="1577"/>
      <c r="C10" s="475">
        <f ca="1">Setup!R26</f>
        <v>44629.414563425926</v>
      </c>
      <c r="D10" s="475">
        <f ca="1">C10</f>
        <v>44629.414563425926</v>
      </c>
      <c r="E10" s="475">
        <f t="shared" ref="E10:AZ11" ca="1" si="2">D10</f>
        <v>44629.414563425926</v>
      </c>
      <c r="F10" s="475">
        <f t="shared" ca="1" si="2"/>
        <v>44629.414563425926</v>
      </c>
      <c r="G10" s="475">
        <f t="shared" ca="1" si="2"/>
        <v>44629.414563425926</v>
      </c>
      <c r="H10" s="475">
        <f t="shared" ca="1" si="2"/>
        <v>44629.414563425926</v>
      </c>
      <c r="I10" s="475">
        <f t="shared" ca="1" si="2"/>
        <v>44629.414563425926</v>
      </c>
      <c r="J10" s="475">
        <f t="shared" ca="1" si="2"/>
        <v>44629.414563425926</v>
      </c>
      <c r="K10" s="475">
        <f t="shared" ca="1" si="2"/>
        <v>44629.414563425926</v>
      </c>
      <c r="L10" s="475">
        <f t="shared" ca="1" si="2"/>
        <v>44629.414563425926</v>
      </c>
      <c r="M10" s="475">
        <f t="shared" ca="1" si="2"/>
        <v>44629.414563425926</v>
      </c>
      <c r="N10" s="475">
        <f t="shared" ca="1" si="2"/>
        <v>44629.414563425926</v>
      </c>
      <c r="O10" s="475">
        <f t="shared" ca="1" si="2"/>
        <v>44629.414563425926</v>
      </c>
      <c r="P10" s="475">
        <f t="shared" ca="1" si="2"/>
        <v>44629.414563425926</v>
      </c>
      <c r="Q10" s="475">
        <f t="shared" ca="1" si="2"/>
        <v>44629.414563425926</v>
      </c>
      <c r="R10" s="475">
        <f t="shared" ca="1" si="2"/>
        <v>44629.414563425926</v>
      </c>
      <c r="S10" s="475">
        <f t="shared" ca="1" si="2"/>
        <v>44629.414563425926</v>
      </c>
      <c r="T10" s="475">
        <f t="shared" ca="1" si="2"/>
        <v>44629.414563425926</v>
      </c>
      <c r="U10" s="475">
        <f t="shared" ca="1" si="2"/>
        <v>44629.414563425926</v>
      </c>
      <c r="V10" s="475">
        <f t="shared" ca="1" si="2"/>
        <v>44629.414563425926</v>
      </c>
      <c r="W10" s="475">
        <f t="shared" ca="1" si="2"/>
        <v>44629.414563425926</v>
      </c>
      <c r="X10" s="475">
        <f t="shared" ca="1" si="2"/>
        <v>44629.414563425926</v>
      </c>
      <c r="Y10" s="475">
        <f t="shared" ca="1" si="2"/>
        <v>44629.414563425926</v>
      </c>
      <c r="Z10" s="475">
        <f t="shared" ca="1" si="2"/>
        <v>44629.414563425926</v>
      </c>
      <c r="AA10" s="475">
        <f t="shared" ca="1" si="2"/>
        <v>44629.414563425926</v>
      </c>
      <c r="AB10" s="475">
        <f t="shared" ca="1" si="2"/>
        <v>44629.414563425926</v>
      </c>
      <c r="AC10" s="475">
        <f t="shared" ca="1" si="2"/>
        <v>44629.414563425926</v>
      </c>
      <c r="AD10" s="475">
        <f t="shared" ca="1" si="2"/>
        <v>44629.414563425926</v>
      </c>
      <c r="AE10" s="475">
        <f t="shared" ca="1" si="2"/>
        <v>44629.414563425926</v>
      </c>
      <c r="AF10" s="475">
        <f t="shared" ca="1" si="2"/>
        <v>44629.414563425926</v>
      </c>
      <c r="AG10" s="475">
        <f t="shared" ca="1" si="2"/>
        <v>44629.414563425926</v>
      </c>
      <c r="AH10" s="475">
        <f t="shared" ca="1" si="2"/>
        <v>44629.414563425926</v>
      </c>
      <c r="AI10" s="475">
        <f t="shared" ca="1" si="2"/>
        <v>44629.414563425926</v>
      </c>
      <c r="AJ10" s="475">
        <f t="shared" ca="1" si="2"/>
        <v>44629.414563425926</v>
      </c>
      <c r="AK10" s="475">
        <f t="shared" ca="1" si="2"/>
        <v>44629.414563425926</v>
      </c>
      <c r="AL10" s="475">
        <f t="shared" ca="1" si="2"/>
        <v>44629.414563425926</v>
      </c>
      <c r="AM10" s="475">
        <f t="shared" ca="1" si="2"/>
        <v>44629.414563425926</v>
      </c>
      <c r="AN10" s="475">
        <f t="shared" ca="1" si="2"/>
        <v>44629.414563425926</v>
      </c>
      <c r="AO10" s="475">
        <f t="shared" ca="1" si="2"/>
        <v>44629.414563425926</v>
      </c>
      <c r="AP10" s="475">
        <f t="shared" ca="1" si="2"/>
        <v>44629.414563425926</v>
      </c>
      <c r="AQ10" s="475">
        <f t="shared" ca="1" si="2"/>
        <v>44629.414563425926</v>
      </c>
      <c r="AR10" s="475">
        <f t="shared" ca="1" si="2"/>
        <v>44629.414563425926</v>
      </c>
      <c r="AS10" s="475">
        <f t="shared" ca="1" si="2"/>
        <v>44629.414563425926</v>
      </c>
      <c r="AT10" s="475">
        <f t="shared" ca="1" si="2"/>
        <v>44629.414563425926</v>
      </c>
      <c r="AU10" s="475">
        <f t="shared" ca="1" si="2"/>
        <v>44629.414563425926</v>
      </c>
      <c r="AV10" s="475">
        <f t="shared" ca="1" si="2"/>
        <v>44629.414563425926</v>
      </c>
      <c r="AW10" s="475">
        <f t="shared" ca="1" si="2"/>
        <v>44629.414563425926</v>
      </c>
      <c r="AX10" s="475">
        <f t="shared" ca="1" si="2"/>
        <v>44629.414563425926</v>
      </c>
      <c r="AY10" s="475">
        <f t="shared" ca="1" si="2"/>
        <v>44629.414563425926</v>
      </c>
      <c r="AZ10" s="475">
        <f t="shared" ca="1" si="2"/>
        <v>44629.414563425926</v>
      </c>
      <c r="BA10" s="678"/>
      <c r="BB10" s="678"/>
      <c r="BC10" s="678"/>
      <c r="BD10" s="678"/>
      <c r="BE10" s="678"/>
      <c r="BF10" s="678"/>
      <c r="BG10" s="678"/>
      <c r="BH10" s="678"/>
      <c r="BI10" s="678"/>
      <c r="BJ10" s="678"/>
      <c r="BK10" s="678"/>
      <c r="BL10" s="678"/>
      <c r="BM10" s="678"/>
      <c r="BN10" s="678"/>
      <c r="BO10" s="678"/>
      <c r="BP10" s="678"/>
      <c r="BQ10" s="678"/>
      <c r="BR10" s="678"/>
      <c r="BS10" s="678"/>
      <c r="BT10" s="678"/>
      <c r="BU10" s="678"/>
      <c r="BV10" s="678"/>
      <c r="BW10" s="678"/>
      <c r="BX10" s="678"/>
      <c r="BY10" s="678"/>
      <c r="BZ10" s="678"/>
      <c r="CA10" s="678"/>
      <c r="CB10" s="678"/>
      <c r="CC10" s="678"/>
      <c r="CD10" s="678"/>
      <c r="CE10" s="678"/>
      <c r="CF10" s="678"/>
      <c r="CG10" s="678"/>
      <c r="CH10" s="678"/>
      <c r="CI10" s="678"/>
      <c r="CJ10" s="678"/>
      <c r="CK10" s="678"/>
      <c r="CL10" s="678"/>
      <c r="CM10" s="678"/>
      <c r="CN10" s="678"/>
      <c r="CO10" s="678"/>
      <c r="CP10" s="678"/>
      <c r="CQ10" s="678"/>
      <c r="CR10" s="678"/>
      <c r="CS10" s="678"/>
      <c r="CT10" s="678"/>
      <c r="CU10" s="678"/>
      <c r="CV10" s="678"/>
      <c r="CW10" s="678"/>
      <c r="CX10" s="678"/>
      <c r="CY10" s="678"/>
      <c r="CZ10" s="678"/>
      <c r="DA10" s="678"/>
      <c r="DB10" s="678"/>
      <c r="DC10" s="678"/>
      <c r="DD10" s="678"/>
      <c r="DE10" s="678"/>
      <c r="DF10" s="678"/>
      <c r="DG10" s="678"/>
      <c r="DH10" s="678"/>
      <c r="DI10" s="678"/>
      <c r="DJ10" s="678"/>
      <c r="DK10" s="678"/>
      <c r="DL10" s="678"/>
      <c r="DM10" s="678"/>
      <c r="DN10" s="678"/>
      <c r="DO10" s="678"/>
      <c r="DP10" s="678"/>
      <c r="DQ10" s="678"/>
      <c r="DR10" s="678"/>
      <c r="DS10" s="678"/>
      <c r="DT10" s="678"/>
      <c r="DU10" s="678"/>
      <c r="DV10" s="678"/>
      <c r="DW10" s="678"/>
      <c r="DX10" s="678"/>
      <c r="DY10" s="678"/>
      <c r="DZ10" s="678"/>
      <c r="EA10" s="678"/>
      <c r="EB10" s="678"/>
      <c r="EC10" s="678"/>
      <c r="ED10" s="678"/>
      <c r="EE10" s="678"/>
      <c r="EF10" s="678"/>
      <c r="EG10" s="678"/>
      <c r="EH10" s="678"/>
      <c r="EI10" s="678"/>
      <c r="EJ10" s="678"/>
      <c r="EK10" s="678"/>
      <c r="EL10" s="678"/>
      <c r="EM10" s="678"/>
      <c r="EN10" s="678"/>
      <c r="EO10" s="678"/>
      <c r="EP10" s="678"/>
      <c r="EQ10" s="678"/>
      <c r="ER10" s="678"/>
      <c r="ES10" s="678"/>
      <c r="ET10" s="678"/>
      <c r="EU10" s="678"/>
      <c r="EV10" s="678"/>
      <c r="EW10" s="678"/>
      <c r="EX10" s="678"/>
      <c r="EY10" s="678"/>
      <c r="EZ10" s="678"/>
      <c r="FA10" s="678"/>
      <c r="FB10" s="678"/>
      <c r="FC10" s="678"/>
      <c r="FD10" s="678"/>
      <c r="FE10" s="678"/>
      <c r="FF10" s="678"/>
      <c r="FG10" s="678"/>
      <c r="FH10" s="678"/>
      <c r="FI10" s="678"/>
      <c r="FJ10" s="678"/>
      <c r="FK10" s="678"/>
      <c r="FL10" s="678"/>
      <c r="FM10" s="678"/>
      <c r="FN10" s="678"/>
      <c r="FO10" s="678"/>
      <c r="FP10" s="678"/>
      <c r="FQ10" s="678"/>
      <c r="FR10" s="678"/>
      <c r="FS10" s="678"/>
      <c r="FT10" s="678"/>
      <c r="FU10" s="678"/>
      <c r="FV10" s="678"/>
      <c r="FW10" s="678"/>
      <c r="FX10" s="678"/>
      <c r="FY10" s="678"/>
      <c r="FZ10" s="678"/>
      <c r="GA10" s="678"/>
      <c r="GB10" s="678"/>
      <c r="GC10" s="678"/>
      <c r="GD10" s="678"/>
      <c r="GE10" s="678"/>
      <c r="GF10" s="678"/>
      <c r="GG10" s="678"/>
      <c r="GH10" s="678"/>
      <c r="GI10" s="678"/>
      <c r="GJ10" s="678"/>
      <c r="GK10" s="678"/>
      <c r="GL10" s="678"/>
      <c r="GM10" s="678"/>
      <c r="GN10" s="678"/>
      <c r="GO10" s="678"/>
      <c r="GP10" s="678"/>
      <c r="GQ10" s="678"/>
      <c r="GR10" s="678"/>
      <c r="GS10" s="678"/>
      <c r="GT10" s="678"/>
      <c r="GU10" s="678"/>
      <c r="GV10" s="678"/>
      <c r="GW10" s="678"/>
      <c r="GX10" s="678"/>
      <c r="GY10" s="678"/>
      <c r="GZ10" s="678"/>
      <c r="HA10" s="678"/>
      <c r="HB10" s="678"/>
      <c r="HC10" s="678"/>
      <c r="HD10" s="678"/>
      <c r="HE10" s="678"/>
      <c r="HF10" s="678"/>
      <c r="HG10" s="678"/>
      <c r="HH10" s="678"/>
      <c r="HI10" s="678"/>
      <c r="HJ10" s="678"/>
      <c r="HK10" s="678"/>
      <c r="HL10" s="678"/>
      <c r="HM10" s="678"/>
      <c r="HN10" s="678"/>
      <c r="HO10" s="678"/>
      <c r="HP10" s="678"/>
      <c r="HQ10" s="678"/>
    </row>
    <row r="11" spans="1:225" s="476" customFormat="1">
      <c r="A11" s="1578" t="s">
        <v>884</v>
      </c>
      <c r="B11" s="1579"/>
      <c r="C11" s="477">
        <f ca="1">Setup!R28</f>
        <v>45359.014563425924</v>
      </c>
      <c r="D11" s="477">
        <f ca="1">C11</f>
        <v>45359.014563425924</v>
      </c>
      <c r="E11" s="477">
        <f t="shared" ca="1" si="2"/>
        <v>45359.014563425924</v>
      </c>
      <c r="F11" s="477">
        <f t="shared" ca="1" si="2"/>
        <v>45359.014563425924</v>
      </c>
      <c r="G11" s="477">
        <f t="shared" ca="1" si="2"/>
        <v>45359.014563425924</v>
      </c>
      <c r="H11" s="477">
        <f t="shared" ca="1" si="2"/>
        <v>45359.014563425924</v>
      </c>
      <c r="I11" s="477">
        <f t="shared" ca="1" si="2"/>
        <v>45359.014563425924</v>
      </c>
      <c r="J11" s="477">
        <f t="shared" ca="1" si="2"/>
        <v>45359.014563425924</v>
      </c>
      <c r="K11" s="477">
        <f t="shared" ca="1" si="2"/>
        <v>45359.014563425924</v>
      </c>
      <c r="L11" s="477">
        <f t="shared" ca="1" si="2"/>
        <v>45359.014563425924</v>
      </c>
      <c r="M11" s="477">
        <f t="shared" ca="1" si="2"/>
        <v>45359.014563425924</v>
      </c>
      <c r="N11" s="477">
        <f t="shared" ca="1" si="2"/>
        <v>45359.014563425924</v>
      </c>
      <c r="O11" s="477">
        <f t="shared" ca="1" si="2"/>
        <v>45359.014563425924</v>
      </c>
      <c r="P11" s="477">
        <f t="shared" ca="1" si="2"/>
        <v>45359.014563425924</v>
      </c>
      <c r="Q11" s="477">
        <f t="shared" ca="1" si="2"/>
        <v>45359.014563425924</v>
      </c>
      <c r="R11" s="477">
        <f t="shared" ca="1" si="2"/>
        <v>45359.014563425924</v>
      </c>
      <c r="S11" s="477">
        <f t="shared" ca="1" si="2"/>
        <v>45359.014563425924</v>
      </c>
      <c r="T11" s="477">
        <f t="shared" ca="1" si="2"/>
        <v>45359.014563425924</v>
      </c>
      <c r="U11" s="477">
        <f t="shared" ca="1" si="2"/>
        <v>45359.014563425924</v>
      </c>
      <c r="V11" s="477">
        <f t="shared" ca="1" si="2"/>
        <v>45359.014563425924</v>
      </c>
      <c r="W11" s="477">
        <f t="shared" ca="1" si="2"/>
        <v>45359.014563425924</v>
      </c>
      <c r="X11" s="477">
        <f t="shared" ca="1" si="2"/>
        <v>45359.014563425924</v>
      </c>
      <c r="Y11" s="477">
        <f t="shared" ca="1" si="2"/>
        <v>45359.014563425924</v>
      </c>
      <c r="Z11" s="477">
        <f t="shared" ca="1" si="2"/>
        <v>45359.014563425924</v>
      </c>
      <c r="AA11" s="477">
        <f t="shared" ca="1" si="2"/>
        <v>45359.014563425924</v>
      </c>
      <c r="AB11" s="477">
        <f t="shared" ca="1" si="2"/>
        <v>45359.014563425924</v>
      </c>
      <c r="AC11" s="477">
        <f t="shared" ca="1" si="2"/>
        <v>45359.014563425924</v>
      </c>
      <c r="AD11" s="477">
        <f t="shared" ca="1" si="2"/>
        <v>45359.014563425924</v>
      </c>
      <c r="AE11" s="477">
        <f t="shared" ca="1" si="2"/>
        <v>45359.014563425924</v>
      </c>
      <c r="AF11" s="477">
        <f t="shared" ca="1" si="2"/>
        <v>45359.014563425924</v>
      </c>
      <c r="AG11" s="477">
        <f t="shared" ca="1" si="2"/>
        <v>45359.014563425924</v>
      </c>
      <c r="AH11" s="477">
        <f t="shared" ca="1" si="2"/>
        <v>45359.014563425924</v>
      </c>
      <c r="AI11" s="477">
        <f t="shared" ca="1" si="2"/>
        <v>45359.014563425924</v>
      </c>
      <c r="AJ11" s="477">
        <f t="shared" ca="1" si="2"/>
        <v>45359.014563425924</v>
      </c>
      <c r="AK11" s="477">
        <f t="shared" ca="1" si="2"/>
        <v>45359.014563425924</v>
      </c>
      <c r="AL11" s="477">
        <f t="shared" ca="1" si="2"/>
        <v>45359.014563425924</v>
      </c>
      <c r="AM11" s="477">
        <f t="shared" ca="1" si="2"/>
        <v>45359.014563425924</v>
      </c>
      <c r="AN11" s="477">
        <f t="shared" ca="1" si="2"/>
        <v>45359.014563425924</v>
      </c>
      <c r="AO11" s="477">
        <f t="shared" ca="1" si="2"/>
        <v>45359.014563425924</v>
      </c>
      <c r="AP11" s="477">
        <f t="shared" ca="1" si="2"/>
        <v>45359.014563425924</v>
      </c>
      <c r="AQ11" s="477">
        <f t="shared" ca="1" si="2"/>
        <v>45359.014563425924</v>
      </c>
      <c r="AR11" s="477">
        <f t="shared" ca="1" si="2"/>
        <v>45359.014563425924</v>
      </c>
      <c r="AS11" s="477">
        <f t="shared" ca="1" si="2"/>
        <v>45359.014563425924</v>
      </c>
      <c r="AT11" s="477">
        <f t="shared" ca="1" si="2"/>
        <v>45359.014563425924</v>
      </c>
      <c r="AU11" s="477">
        <f t="shared" ca="1" si="2"/>
        <v>45359.014563425924</v>
      </c>
      <c r="AV11" s="477">
        <f t="shared" ca="1" si="2"/>
        <v>45359.014563425924</v>
      </c>
      <c r="AW11" s="477">
        <f t="shared" ca="1" si="2"/>
        <v>45359.014563425924</v>
      </c>
      <c r="AX11" s="477">
        <f t="shared" ca="1" si="2"/>
        <v>45359.014563425924</v>
      </c>
      <c r="AY11" s="477">
        <f t="shared" ca="1" si="2"/>
        <v>45359.014563425924</v>
      </c>
      <c r="AZ11" s="477">
        <f t="shared" ca="1" si="2"/>
        <v>45359.014563425924</v>
      </c>
      <c r="BA11" s="678"/>
      <c r="BB11" s="678"/>
      <c r="BC11" s="678"/>
      <c r="BD11" s="678"/>
      <c r="BE11" s="678"/>
      <c r="BF11" s="678"/>
      <c r="BG11" s="678"/>
      <c r="BH11" s="678"/>
      <c r="BI11" s="678"/>
      <c r="BJ11" s="678"/>
      <c r="BK11" s="678"/>
      <c r="BL11" s="678"/>
      <c r="BM11" s="678"/>
      <c r="BN11" s="678"/>
      <c r="BO11" s="678"/>
      <c r="BP11" s="678"/>
      <c r="BQ11" s="678"/>
      <c r="BR11" s="678"/>
      <c r="BS11" s="678"/>
      <c r="BT11" s="678"/>
      <c r="BU11" s="678"/>
      <c r="BV11" s="678"/>
      <c r="BW11" s="678"/>
      <c r="BX11" s="678"/>
      <c r="BY11" s="678"/>
      <c r="BZ11" s="678"/>
      <c r="CA11" s="678"/>
      <c r="CB11" s="678"/>
      <c r="CC11" s="678"/>
      <c r="CD11" s="678"/>
      <c r="CE11" s="678"/>
      <c r="CF11" s="678"/>
      <c r="CG11" s="678"/>
      <c r="CH11" s="678"/>
      <c r="CI11" s="678"/>
      <c r="CJ11" s="678"/>
      <c r="CK11" s="678"/>
      <c r="CL11" s="678"/>
      <c r="CM11" s="678"/>
      <c r="CN11" s="678"/>
      <c r="CO11" s="678"/>
      <c r="CP11" s="678"/>
      <c r="CQ11" s="678"/>
      <c r="CR11" s="678"/>
      <c r="CS11" s="678"/>
      <c r="CT11" s="678"/>
      <c r="CU11" s="678"/>
      <c r="CV11" s="678"/>
      <c r="CW11" s="678"/>
      <c r="CX11" s="678"/>
      <c r="CY11" s="678"/>
      <c r="CZ11" s="678"/>
      <c r="DA11" s="678"/>
      <c r="DB11" s="678"/>
      <c r="DC11" s="678"/>
      <c r="DD11" s="678"/>
      <c r="DE11" s="678"/>
      <c r="DF11" s="678"/>
      <c r="DG11" s="678"/>
      <c r="DH11" s="678"/>
      <c r="DI11" s="678"/>
      <c r="DJ11" s="678"/>
      <c r="DK11" s="678"/>
      <c r="DL11" s="678"/>
      <c r="DM11" s="678"/>
      <c r="DN11" s="678"/>
      <c r="DO11" s="678"/>
      <c r="DP11" s="678"/>
      <c r="DQ11" s="678"/>
      <c r="DR11" s="678"/>
      <c r="DS11" s="678"/>
      <c r="DT11" s="678"/>
      <c r="DU11" s="678"/>
      <c r="DV11" s="678"/>
      <c r="DW11" s="678"/>
      <c r="DX11" s="678"/>
      <c r="DY11" s="678"/>
      <c r="DZ11" s="678"/>
      <c r="EA11" s="678"/>
      <c r="EB11" s="678"/>
      <c r="EC11" s="678"/>
      <c r="ED11" s="678"/>
      <c r="EE11" s="678"/>
      <c r="EF11" s="678"/>
      <c r="EG11" s="678"/>
      <c r="EH11" s="678"/>
      <c r="EI11" s="678"/>
      <c r="EJ11" s="678"/>
      <c r="EK11" s="678"/>
      <c r="EL11" s="678"/>
      <c r="EM11" s="678"/>
      <c r="EN11" s="678"/>
      <c r="EO11" s="678"/>
      <c r="EP11" s="678"/>
      <c r="EQ11" s="678"/>
      <c r="ER11" s="678"/>
      <c r="ES11" s="678"/>
      <c r="ET11" s="678"/>
      <c r="EU11" s="678"/>
      <c r="EV11" s="678"/>
      <c r="EW11" s="678"/>
      <c r="EX11" s="678"/>
      <c r="EY11" s="678"/>
      <c r="EZ11" s="678"/>
      <c r="FA11" s="678"/>
      <c r="FB11" s="678"/>
      <c r="FC11" s="678"/>
      <c r="FD11" s="678"/>
      <c r="FE11" s="678"/>
      <c r="FF11" s="678"/>
      <c r="FG11" s="678"/>
      <c r="FH11" s="678"/>
      <c r="FI11" s="678"/>
      <c r="FJ11" s="678"/>
      <c r="FK11" s="678"/>
      <c r="FL11" s="678"/>
      <c r="FM11" s="678"/>
      <c r="FN11" s="678"/>
      <c r="FO11" s="678"/>
      <c r="FP11" s="678"/>
      <c r="FQ11" s="678"/>
      <c r="FR11" s="678"/>
      <c r="FS11" s="678"/>
      <c r="FT11" s="678"/>
      <c r="FU11" s="678"/>
      <c r="FV11" s="678"/>
      <c r="FW11" s="678"/>
      <c r="FX11" s="678"/>
      <c r="FY11" s="678"/>
      <c r="FZ11" s="678"/>
      <c r="GA11" s="678"/>
      <c r="GB11" s="678"/>
      <c r="GC11" s="678"/>
      <c r="GD11" s="678"/>
      <c r="GE11" s="678"/>
      <c r="GF11" s="678"/>
      <c r="GG11" s="678"/>
      <c r="GH11" s="678"/>
      <c r="GI11" s="678"/>
      <c r="GJ11" s="678"/>
      <c r="GK11" s="678"/>
      <c r="GL11" s="678"/>
      <c r="GM11" s="678"/>
      <c r="GN11" s="678"/>
      <c r="GO11" s="678"/>
      <c r="GP11" s="678"/>
      <c r="GQ11" s="678"/>
      <c r="GR11" s="678"/>
      <c r="GS11" s="678"/>
      <c r="GT11" s="678"/>
      <c r="GU11" s="678"/>
      <c r="GV11" s="678"/>
      <c r="GW11" s="678"/>
      <c r="GX11" s="678"/>
      <c r="GY11" s="678"/>
      <c r="GZ11" s="678"/>
      <c r="HA11" s="678"/>
      <c r="HB11" s="678"/>
      <c r="HC11" s="678"/>
      <c r="HD11" s="678"/>
      <c r="HE11" s="678"/>
      <c r="HF11" s="678"/>
      <c r="HG11" s="678"/>
      <c r="HH11" s="678"/>
      <c r="HI11" s="678"/>
      <c r="HJ11" s="678"/>
      <c r="HK11" s="678"/>
      <c r="HL11" s="678"/>
      <c r="HM11" s="678"/>
      <c r="HN11" s="678"/>
      <c r="HO11" s="678"/>
      <c r="HP11" s="678"/>
      <c r="HQ11" s="678"/>
    </row>
    <row r="12" spans="1:225" s="476" customFormat="1">
      <c r="A12" s="1576" t="s">
        <v>885</v>
      </c>
      <c r="B12" s="1577"/>
      <c r="C12" s="713">
        <f ca="1">Setup!$R$32</f>
        <v>2026</v>
      </c>
      <c r="D12" s="713">
        <f ca="1">Setup!$R$32</f>
        <v>2026</v>
      </c>
      <c r="E12" s="713">
        <f ca="1">Setup!$R$32</f>
        <v>2026</v>
      </c>
      <c r="F12" s="713">
        <f ca="1">Setup!$R$32</f>
        <v>2026</v>
      </c>
      <c r="G12" s="713">
        <f ca="1">Setup!$R$32</f>
        <v>2026</v>
      </c>
      <c r="H12" s="713">
        <f ca="1">Setup!$R$32</f>
        <v>2026</v>
      </c>
      <c r="I12" s="713">
        <f ca="1">Setup!$R$32</f>
        <v>2026</v>
      </c>
      <c r="J12" s="713">
        <f ca="1">Setup!$R$32</f>
        <v>2026</v>
      </c>
      <c r="K12" s="713">
        <f ca="1">Setup!$R$32</f>
        <v>2026</v>
      </c>
      <c r="L12" s="713">
        <f ca="1">Setup!$R$32</f>
        <v>2026</v>
      </c>
      <c r="M12" s="713">
        <f ca="1">Setup!$R$32</f>
        <v>2026</v>
      </c>
      <c r="N12" s="713">
        <f ca="1">Setup!$R$32</f>
        <v>2026</v>
      </c>
      <c r="O12" s="713">
        <f ca="1">Setup!$R$32</f>
        <v>2026</v>
      </c>
      <c r="P12" s="713">
        <f ca="1">Setup!$R$32</f>
        <v>2026</v>
      </c>
      <c r="Q12" s="713">
        <f ca="1">Setup!$R$32</f>
        <v>2026</v>
      </c>
      <c r="R12" s="713">
        <f ca="1">Setup!$R$32</f>
        <v>2026</v>
      </c>
      <c r="S12" s="713">
        <f ca="1">Setup!$R$32</f>
        <v>2026</v>
      </c>
      <c r="T12" s="713">
        <f ca="1">Setup!$R$32</f>
        <v>2026</v>
      </c>
      <c r="U12" s="713">
        <f ca="1">Setup!$R$32</f>
        <v>2026</v>
      </c>
      <c r="V12" s="713">
        <f ca="1">Setup!$R$32</f>
        <v>2026</v>
      </c>
      <c r="W12" s="713">
        <f ca="1">Setup!$R$32</f>
        <v>2026</v>
      </c>
      <c r="X12" s="713">
        <f ca="1">Setup!$R$32</f>
        <v>2026</v>
      </c>
      <c r="Y12" s="713">
        <f ca="1">Setup!$R$32</f>
        <v>2026</v>
      </c>
      <c r="Z12" s="713">
        <f ca="1">Setup!$R$32</f>
        <v>2026</v>
      </c>
      <c r="AA12" s="713">
        <f ca="1">Setup!$R$32</f>
        <v>2026</v>
      </c>
      <c r="AB12" s="713">
        <f ca="1">Setup!$R$32</f>
        <v>2026</v>
      </c>
      <c r="AC12" s="713">
        <f ca="1">Setup!$R$32</f>
        <v>2026</v>
      </c>
      <c r="AD12" s="713">
        <f ca="1">Setup!$R$32</f>
        <v>2026</v>
      </c>
      <c r="AE12" s="713">
        <f ca="1">Setup!$R$32</f>
        <v>2026</v>
      </c>
      <c r="AF12" s="713">
        <f ca="1">Setup!$R$32</f>
        <v>2026</v>
      </c>
      <c r="AG12" s="713">
        <f ca="1">Setup!$R$32</f>
        <v>2026</v>
      </c>
      <c r="AH12" s="713">
        <f ca="1">Setup!$R$32</f>
        <v>2026</v>
      </c>
      <c r="AI12" s="713">
        <f ca="1">Setup!$R$32</f>
        <v>2026</v>
      </c>
      <c r="AJ12" s="713">
        <f ca="1">Setup!$R$32</f>
        <v>2026</v>
      </c>
      <c r="AK12" s="713">
        <f ca="1">Setup!$R$32</f>
        <v>2026</v>
      </c>
      <c r="AL12" s="713">
        <f ca="1">Setup!$R$32</f>
        <v>2026</v>
      </c>
      <c r="AM12" s="713">
        <f ca="1">Setup!$R$32</f>
        <v>2026</v>
      </c>
      <c r="AN12" s="713">
        <f ca="1">Setup!$R$32</f>
        <v>2026</v>
      </c>
      <c r="AO12" s="713">
        <f ca="1">Setup!$R$32</f>
        <v>2026</v>
      </c>
      <c r="AP12" s="713">
        <f ca="1">Setup!$R$32</f>
        <v>2026</v>
      </c>
      <c r="AQ12" s="713">
        <f ca="1">Setup!$R$32</f>
        <v>2026</v>
      </c>
      <c r="AR12" s="713">
        <f ca="1">Setup!$R$32</f>
        <v>2026</v>
      </c>
      <c r="AS12" s="713">
        <f ca="1">Setup!$R$32</f>
        <v>2026</v>
      </c>
      <c r="AT12" s="713">
        <f ca="1">Setup!$R$32</f>
        <v>2026</v>
      </c>
      <c r="AU12" s="713">
        <f ca="1">Setup!$R$32</f>
        <v>2026</v>
      </c>
      <c r="AV12" s="713">
        <f ca="1">Setup!$R$32</f>
        <v>2026</v>
      </c>
      <c r="AW12" s="713">
        <f ca="1">Setup!$R$32</f>
        <v>2026</v>
      </c>
      <c r="AX12" s="713">
        <f ca="1">Setup!$R$32</f>
        <v>2026</v>
      </c>
      <c r="AY12" s="713">
        <f ca="1">Setup!$R$32</f>
        <v>2026</v>
      </c>
      <c r="AZ12" s="713">
        <f ca="1">Setup!$R$32</f>
        <v>2026</v>
      </c>
      <c r="BA12" s="678"/>
      <c r="BB12" s="678"/>
      <c r="BC12" s="678"/>
      <c r="BD12" s="678"/>
      <c r="BE12" s="678"/>
      <c r="BF12" s="678"/>
      <c r="BG12" s="678"/>
      <c r="BH12" s="678"/>
      <c r="BI12" s="678"/>
      <c r="BJ12" s="678"/>
      <c r="BK12" s="678"/>
      <c r="BL12" s="678"/>
      <c r="BM12" s="678"/>
      <c r="BN12" s="678"/>
      <c r="BO12" s="678"/>
      <c r="BP12" s="678"/>
      <c r="BQ12" s="678"/>
      <c r="BR12" s="678"/>
      <c r="BS12" s="678"/>
      <c r="BT12" s="678"/>
      <c r="BU12" s="678"/>
      <c r="BV12" s="678"/>
      <c r="BW12" s="678"/>
      <c r="BX12" s="678"/>
      <c r="BY12" s="678"/>
      <c r="BZ12" s="678"/>
      <c r="CA12" s="678"/>
      <c r="CB12" s="678"/>
      <c r="CC12" s="678"/>
      <c r="CD12" s="678"/>
      <c r="CE12" s="678"/>
      <c r="CF12" s="678"/>
      <c r="CG12" s="678"/>
      <c r="CH12" s="678"/>
      <c r="CI12" s="678"/>
      <c r="CJ12" s="678"/>
      <c r="CK12" s="678"/>
      <c r="CL12" s="678"/>
      <c r="CM12" s="678"/>
      <c r="CN12" s="678"/>
      <c r="CO12" s="678"/>
      <c r="CP12" s="678"/>
      <c r="CQ12" s="678"/>
      <c r="CR12" s="678"/>
      <c r="CS12" s="678"/>
      <c r="CT12" s="678"/>
      <c r="CU12" s="678"/>
      <c r="CV12" s="678"/>
      <c r="CW12" s="678"/>
      <c r="CX12" s="678"/>
      <c r="CY12" s="678"/>
      <c r="CZ12" s="678"/>
      <c r="DA12" s="678"/>
      <c r="DB12" s="678"/>
      <c r="DC12" s="678"/>
      <c r="DD12" s="678"/>
      <c r="DE12" s="678"/>
      <c r="DF12" s="678"/>
      <c r="DG12" s="678"/>
      <c r="DH12" s="678"/>
      <c r="DI12" s="678"/>
      <c r="DJ12" s="678"/>
      <c r="DK12" s="678"/>
      <c r="DL12" s="678"/>
      <c r="DM12" s="678"/>
      <c r="DN12" s="678"/>
      <c r="DO12" s="678"/>
      <c r="DP12" s="678"/>
      <c r="DQ12" s="678"/>
      <c r="DR12" s="678"/>
      <c r="DS12" s="678"/>
      <c r="DT12" s="678"/>
      <c r="DU12" s="678"/>
      <c r="DV12" s="678"/>
      <c r="DW12" s="678"/>
      <c r="DX12" s="678"/>
      <c r="DY12" s="678"/>
      <c r="DZ12" s="678"/>
      <c r="EA12" s="678"/>
      <c r="EB12" s="678"/>
      <c r="EC12" s="678"/>
      <c r="ED12" s="678"/>
      <c r="EE12" s="678"/>
      <c r="EF12" s="678"/>
      <c r="EG12" s="678"/>
      <c r="EH12" s="678"/>
      <c r="EI12" s="678"/>
      <c r="EJ12" s="678"/>
      <c r="EK12" s="678"/>
      <c r="EL12" s="678"/>
      <c r="EM12" s="678"/>
      <c r="EN12" s="678"/>
      <c r="EO12" s="678"/>
      <c r="EP12" s="678"/>
      <c r="EQ12" s="678"/>
      <c r="ER12" s="678"/>
      <c r="ES12" s="678"/>
      <c r="ET12" s="678"/>
      <c r="EU12" s="678"/>
      <c r="EV12" s="678"/>
      <c r="EW12" s="678"/>
      <c r="EX12" s="678"/>
      <c r="EY12" s="678"/>
      <c r="EZ12" s="678"/>
      <c r="FA12" s="678"/>
      <c r="FB12" s="678"/>
      <c r="FC12" s="678"/>
      <c r="FD12" s="678"/>
      <c r="FE12" s="678"/>
      <c r="FF12" s="678"/>
      <c r="FG12" s="678"/>
      <c r="FH12" s="678"/>
      <c r="FI12" s="678"/>
      <c r="FJ12" s="678"/>
      <c r="FK12" s="678"/>
      <c r="FL12" s="678"/>
      <c r="FM12" s="678"/>
      <c r="FN12" s="678"/>
      <c r="FO12" s="678"/>
      <c r="FP12" s="678"/>
      <c r="FQ12" s="678"/>
      <c r="FR12" s="678"/>
      <c r="FS12" s="678"/>
      <c r="FT12" s="678"/>
      <c r="FU12" s="678"/>
      <c r="FV12" s="678"/>
      <c r="FW12" s="678"/>
      <c r="FX12" s="678"/>
      <c r="FY12" s="678"/>
      <c r="FZ12" s="678"/>
      <c r="GA12" s="678"/>
      <c r="GB12" s="678"/>
      <c r="GC12" s="678"/>
      <c r="GD12" s="678"/>
      <c r="GE12" s="678"/>
      <c r="GF12" s="678"/>
      <c r="GG12" s="678"/>
      <c r="GH12" s="678"/>
      <c r="GI12" s="678"/>
      <c r="GJ12" s="678"/>
      <c r="GK12" s="678"/>
      <c r="GL12" s="678"/>
      <c r="GM12" s="678"/>
      <c r="GN12" s="678"/>
      <c r="GO12" s="678"/>
      <c r="GP12" s="678"/>
      <c r="GQ12" s="678"/>
      <c r="GR12" s="678"/>
      <c r="GS12" s="678"/>
      <c r="GT12" s="678"/>
      <c r="GU12" s="678"/>
      <c r="GV12" s="678"/>
      <c r="GW12" s="678"/>
      <c r="GX12" s="678"/>
      <c r="GY12" s="678"/>
      <c r="GZ12" s="678"/>
      <c r="HA12" s="678"/>
      <c r="HB12" s="678"/>
      <c r="HC12" s="678"/>
      <c r="HD12" s="678"/>
      <c r="HE12" s="678"/>
      <c r="HF12" s="678"/>
      <c r="HG12" s="678"/>
      <c r="HH12" s="678"/>
      <c r="HI12" s="678"/>
      <c r="HJ12" s="678"/>
      <c r="HK12" s="678"/>
      <c r="HL12" s="678"/>
      <c r="HM12" s="678"/>
      <c r="HN12" s="678"/>
      <c r="HO12" s="678"/>
      <c r="HP12" s="678"/>
      <c r="HQ12" s="678"/>
    </row>
    <row r="13" spans="1:225" s="479" customFormat="1" ht="40.700000000000003" customHeight="1">
      <c r="A13" s="1330" t="s">
        <v>886</v>
      </c>
      <c r="B13" s="1326"/>
      <c r="C13" s="799">
        <f>Setup!D8</f>
        <v>0</v>
      </c>
      <c r="D13" s="478" t="s">
        <v>180</v>
      </c>
      <c r="E13" s="478" t="str">
        <f t="shared" ref="E13:AZ13" si="3">IF(E6="","",D13)</f>
        <v/>
      </c>
      <c r="F13" s="478" t="str">
        <f t="shared" si="3"/>
        <v/>
      </c>
      <c r="G13" s="478" t="str">
        <f t="shared" si="3"/>
        <v/>
      </c>
      <c r="H13" s="478" t="str">
        <f t="shared" si="3"/>
        <v/>
      </c>
      <c r="I13" s="478" t="str">
        <f t="shared" si="3"/>
        <v/>
      </c>
      <c r="J13" s="478" t="str">
        <f t="shared" si="3"/>
        <v/>
      </c>
      <c r="K13" s="478" t="str">
        <f t="shared" si="3"/>
        <v/>
      </c>
      <c r="L13" s="478" t="str">
        <f t="shared" si="3"/>
        <v/>
      </c>
      <c r="M13" s="478" t="str">
        <f t="shared" si="3"/>
        <v/>
      </c>
      <c r="N13" s="478" t="str">
        <f t="shared" si="3"/>
        <v/>
      </c>
      <c r="O13" s="478" t="str">
        <f t="shared" si="3"/>
        <v/>
      </c>
      <c r="P13" s="478" t="str">
        <f t="shared" si="3"/>
        <v/>
      </c>
      <c r="Q13" s="478" t="str">
        <f t="shared" si="3"/>
        <v/>
      </c>
      <c r="R13" s="478" t="str">
        <f t="shared" si="3"/>
        <v/>
      </c>
      <c r="S13" s="478" t="str">
        <f t="shared" si="3"/>
        <v/>
      </c>
      <c r="T13" s="478" t="str">
        <f t="shared" si="3"/>
        <v/>
      </c>
      <c r="U13" s="478" t="str">
        <f t="shared" si="3"/>
        <v/>
      </c>
      <c r="V13" s="478" t="str">
        <f t="shared" si="3"/>
        <v/>
      </c>
      <c r="W13" s="478" t="str">
        <f t="shared" si="3"/>
        <v/>
      </c>
      <c r="X13" s="478" t="str">
        <f t="shared" si="3"/>
        <v/>
      </c>
      <c r="Y13" s="478" t="str">
        <f t="shared" si="3"/>
        <v/>
      </c>
      <c r="Z13" s="478" t="str">
        <f t="shared" si="3"/>
        <v/>
      </c>
      <c r="AA13" s="478" t="str">
        <f t="shared" si="3"/>
        <v/>
      </c>
      <c r="AB13" s="478" t="str">
        <f t="shared" si="3"/>
        <v/>
      </c>
      <c r="AC13" s="478" t="str">
        <f t="shared" si="3"/>
        <v/>
      </c>
      <c r="AD13" s="478" t="str">
        <f t="shared" si="3"/>
        <v/>
      </c>
      <c r="AE13" s="478" t="str">
        <f t="shared" si="3"/>
        <v/>
      </c>
      <c r="AF13" s="478" t="str">
        <f t="shared" si="3"/>
        <v/>
      </c>
      <c r="AG13" s="478" t="str">
        <f t="shared" si="3"/>
        <v/>
      </c>
      <c r="AH13" s="478" t="str">
        <f t="shared" si="3"/>
        <v/>
      </c>
      <c r="AI13" s="478" t="str">
        <f t="shared" si="3"/>
        <v/>
      </c>
      <c r="AJ13" s="478" t="str">
        <f t="shared" si="3"/>
        <v/>
      </c>
      <c r="AK13" s="478" t="str">
        <f t="shared" si="3"/>
        <v/>
      </c>
      <c r="AL13" s="478" t="str">
        <f t="shared" si="3"/>
        <v/>
      </c>
      <c r="AM13" s="478" t="str">
        <f t="shared" si="3"/>
        <v/>
      </c>
      <c r="AN13" s="478" t="str">
        <f t="shared" si="3"/>
        <v/>
      </c>
      <c r="AO13" s="478" t="str">
        <f t="shared" si="3"/>
        <v/>
      </c>
      <c r="AP13" s="478" t="str">
        <f t="shared" si="3"/>
        <v/>
      </c>
      <c r="AQ13" s="478" t="str">
        <f t="shared" si="3"/>
        <v/>
      </c>
      <c r="AR13" s="478" t="str">
        <f t="shared" si="3"/>
        <v/>
      </c>
      <c r="AS13" s="478" t="str">
        <f t="shared" si="3"/>
        <v/>
      </c>
      <c r="AT13" s="478" t="str">
        <f t="shared" si="3"/>
        <v/>
      </c>
      <c r="AU13" s="478" t="str">
        <f t="shared" si="3"/>
        <v/>
      </c>
      <c r="AV13" s="478" t="str">
        <f t="shared" si="3"/>
        <v/>
      </c>
      <c r="AW13" s="478" t="str">
        <f t="shared" si="3"/>
        <v/>
      </c>
      <c r="AX13" s="478" t="str">
        <f t="shared" si="3"/>
        <v/>
      </c>
      <c r="AY13" s="478" t="str">
        <f t="shared" si="3"/>
        <v/>
      </c>
      <c r="AZ13" s="478" t="str">
        <f t="shared" si="3"/>
        <v/>
      </c>
      <c r="BA13" s="679"/>
      <c r="BB13" s="679"/>
      <c r="BC13" s="679"/>
      <c r="BD13" s="679"/>
      <c r="BE13" s="679"/>
      <c r="BF13" s="679"/>
      <c r="BG13" s="679"/>
      <c r="BH13" s="679"/>
      <c r="BI13" s="679"/>
      <c r="BJ13" s="679"/>
      <c r="BK13" s="679"/>
      <c r="BL13" s="679"/>
      <c r="BM13" s="679"/>
      <c r="BN13" s="679"/>
      <c r="BO13" s="679"/>
      <c r="BP13" s="679"/>
      <c r="BQ13" s="679"/>
      <c r="BR13" s="679"/>
      <c r="BS13" s="679"/>
      <c r="BT13" s="679"/>
      <c r="BU13" s="679"/>
      <c r="BV13" s="679"/>
      <c r="BW13" s="679"/>
      <c r="BX13" s="679"/>
      <c r="BY13" s="679"/>
      <c r="BZ13" s="679"/>
      <c r="CA13" s="679"/>
      <c r="CB13" s="679"/>
      <c r="CC13" s="679"/>
      <c r="CD13" s="679"/>
      <c r="CE13" s="679"/>
      <c r="CF13" s="679"/>
      <c r="CG13" s="679"/>
      <c r="CH13" s="679"/>
      <c r="CI13" s="679"/>
      <c r="CJ13" s="679"/>
      <c r="CK13" s="679"/>
      <c r="CL13" s="679"/>
      <c r="CM13" s="679"/>
      <c r="CN13" s="679"/>
      <c r="CO13" s="679"/>
      <c r="CP13" s="679"/>
      <c r="CQ13" s="679"/>
      <c r="CR13" s="679"/>
      <c r="CS13" s="679"/>
      <c r="CT13" s="679"/>
      <c r="CU13" s="679"/>
      <c r="CV13" s="679"/>
      <c r="CW13" s="679"/>
      <c r="CX13" s="679"/>
      <c r="CY13" s="679"/>
      <c r="CZ13" s="679"/>
      <c r="DA13" s="679"/>
      <c r="DB13" s="679"/>
      <c r="DC13" s="679"/>
      <c r="DD13" s="679"/>
      <c r="DE13" s="679"/>
      <c r="DF13" s="679"/>
      <c r="DG13" s="679"/>
      <c r="DH13" s="679"/>
      <c r="DI13" s="679"/>
      <c r="DJ13" s="679"/>
      <c r="DK13" s="679"/>
      <c r="DL13" s="679"/>
      <c r="DM13" s="679"/>
      <c r="DN13" s="679"/>
      <c r="DO13" s="679"/>
      <c r="DP13" s="679"/>
      <c r="DQ13" s="679"/>
      <c r="DR13" s="679"/>
      <c r="DS13" s="679"/>
      <c r="DT13" s="679"/>
      <c r="DU13" s="679"/>
      <c r="DV13" s="679"/>
      <c r="DW13" s="679"/>
      <c r="DX13" s="679"/>
      <c r="DY13" s="679"/>
      <c r="DZ13" s="679"/>
      <c r="EA13" s="679"/>
      <c r="EB13" s="679"/>
      <c r="EC13" s="679"/>
      <c r="ED13" s="679"/>
      <c r="EE13" s="679"/>
      <c r="EF13" s="679"/>
      <c r="EG13" s="679"/>
      <c r="EH13" s="679"/>
      <c r="EI13" s="679"/>
      <c r="EJ13" s="679"/>
      <c r="EK13" s="679"/>
      <c r="EL13" s="679"/>
      <c r="EM13" s="679"/>
      <c r="EN13" s="679"/>
      <c r="EO13" s="679"/>
      <c r="EP13" s="679"/>
      <c r="EQ13" s="679"/>
      <c r="ER13" s="679"/>
      <c r="ES13" s="679"/>
      <c r="ET13" s="679"/>
      <c r="EU13" s="679"/>
      <c r="EV13" s="679"/>
      <c r="EW13" s="679"/>
      <c r="EX13" s="679"/>
      <c r="EY13" s="679"/>
      <c r="EZ13" s="679"/>
      <c r="FA13" s="679"/>
      <c r="FB13" s="679"/>
      <c r="FC13" s="679"/>
      <c r="FD13" s="679"/>
      <c r="FE13" s="679"/>
      <c r="FF13" s="679"/>
      <c r="FG13" s="679"/>
      <c r="FH13" s="679"/>
      <c r="FI13" s="679"/>
      <c r="FJ13" s="679"/>
      <c r="FK13" s="679"/>
      <c r="FL13" s="679"/>
      <c r="FM13" s="679"/>
      <c r="FN13" s="679"/>
      <c r="FO13" s="679"/>
      <c r="FP13" s="679"/>
      <c r="FQ13" s="679"/>
      <c r="FR13" s="679"/>
      <c r="FS13" s="679"/>
      <c r="FT13" s="679"/>
      <c r="FU13" s="679"/>
      <c r="FV13" s="679"/>
      <c r="FW13" s="679"/>
      <c r="FX13" s="679"/>
      <c r="FY13" s="679"/>
      <c r="FZ13" s="679"/>
      <c r="GA13" s="679"/>
      <c r="GB13" s="679"/>
      <c r="GC13" s="679"/>
      <c r="GD13" s="679"/>
      <c r="GE13" s="679"/>
      <c r="GF13" s="679"/>
      <c r="GG13" s="679"/>
      <c r="GH13" s="679"/>
      <c r="GI13" s="679"/>
      <c r="GJ13" s="679"/>
      <c r="GK13" s="679"/>
      <c r="GL13" s="679"/>
      <c r="GM13" s="679"/>
      <c r="GN13" s="679"/>
      <c r="GO13" s="679"/>
      <c r="GP13" s="679"/>
      <c r="GQ13" s="679"/>
      <c r="GR13" s="679"/>
      <c r="GS13" s="679"/>
      <c r="GT13" s="679"/>
      <c r="GU13" s="679"/>
      <c r="GV13" s="679"/>
      <c r="GW13" s="679"/>
      <c r="GX13" s="679"/>
      <c r="GY13" s="679"/>
      <c r="GZ13" s="679"/>
      <c r="HA13" s="679"/>
      <c r="HB13" s="679"/>
      <c r="HC13" s="679"/>
      <c r="HD13" s="679"/>
      <c r="HE13" s="679"/>
      <c r="HF13" s="679"/>
      <c r="HG13" s="679"/>
      <c r="HH13" s="679"/>
      <c r="HI13" s="679"/>
      <c r="HJ13" s="679"/>
      <c r="HK13" s="679"/>
      <c r="HL13" s="679"/>
      <c r="HM13" s="679"/>
      <c r="HN13" s="679"/>
      <c r="HO13" s="679"/>
      <c r="HP13" s="679"/>
      <c r="HQ13" s="679"/>
    </row>
    <row r="14" spans="1:225">
      <c r="A14" s="1330" t="s">
        <v>424</v>
      </c>
      <c r="B14" s="1580">
        <f>SUM(C14:AZ14)</f>
        <v>100000</v>
      </c>
      <c r="C14" s="1581">
        <f>IF(Setup!D38=0,0,Setup!D38/Setup!D35)</f>
        <v>100000</v>
      </c>
      <c r="D14" s="1582">
        <f t="shared" ref="D14:AZ14" si="4">IF(D5=D4,C14,0)</f>
        <v>0</v>
      </c>
      <c r="E14" s="1582">
        <f t="shared" si="4"/>
        <v>0</v>
      </c>
      <c r="F14" s="1582">
        <f t="shared" si="4"/>
        <v>0</v>
      </c>
      <c r="G14" s="1582">
        <f t="shared" si="4"/>
        <v>0</v>
      </c>
      <c r="H14" s="1582">
        <f t="shared" si="4"/>
        <v>0</v>
      </c>
      <c r="I14" s="1582">
        <f t="shared" si="4"/>
        <v>0</v>
      </c>
      <c r="J14" s="1582">
        <f t="shared" si="4"/>
        <v>0</v>
      </c>
      <c r="K14" s="1582">
        <f t="shared" si="4"/>
        <v>0</v>
      </c>
      <c r="L14" s="1582">
        <f t="shared" si="4"/>
        <v>0</v>
      </c>
      <c r="M14" s="1582">
        <f t="shared" si="4"/>
        <v>0</v>
      </c>
      <c r="N14" s="1582">
        <f t="shared" si="4"/>
        <v>0</v>
      </c>
      <c r="O14" s="1582">
        <f t="shared" si="4"/>
        <v>0</v>
      </c>
      <c r="P14" s="1582">
        <f t="shared" si="4"/>
        <v>0</v>
      </c>
      <c r="Q14" s="1582">
        <f t="shared" si="4"/>
        <v>0</v>
      </c>
      <c r="R14" s="1582">
        <f t="shared" si="4"/>
        <v>0</v>
      </c>
      <c r="S14" s="1582">
        <f t="shared" si="4"/>
        <v>0</v>
      </c>
      <c r="T14" s="1582">
        <f t="shared" si="4"/>
        <v>0</v>
      </c>
      <c r="U14" s="1582">
        <f t="shared" si="4"/>
        <v>0</v>
      </c>
      <c r="V14" s="1582">
        <f t="shared" si="4"/>
        <v>0</v>
      </c>
      <c r="W14" s="1582">
        <f t="shared" si="4"/>
        <v>0</v>
      </c>
      <c r="X14" s="1582">
        <f t="shared" si="4"/>
        <v>0</v>
      </c>
      <c r="Y14" s="1582">
        <f t="shared" si="4"/>
        <v>0</v>
      </c>
      <c r="Z14" s="1582">
        <f t="shared" si="4"/>
        <v>0</v>
      </c>
      <c r="AA14" s="1582">
        <f t="shared" si="4"/>
        <v>0</v>
      </c>
      <c r="AB14" s="1582">
        <f t="shared" si="4"/>
        <v>0</v>
      </c>
      <c r="AC14" s="1582">
        <f t="shared" si="4"/>
        <v>0</v>
      </c>
      <c r="AD14" s="1582">
        <f t="shared" si="4"/>
        <v>0</v>
      </c>
      <c r="AE14" s="1582">
        <f t="shared" si="4"/>
        <v>0</v>
      </c>
      <c r="AF14" s="1582">
        <f t="shared" si="4"/>
        <v>0</v>
      </c>
      <c r="AG14" s="1582">
        <f t="shared" si="4"/>
        <v>0</v>
      </c>
      <c r="AH14" s="1582">
        <f t="shared" si="4"/>
        <v>0</v>
      </c>
      <c r="AI14" s="1582">
        <f t="shared" si="4"/>
        <v>0</v>
      </c>
      <c r="AJ14" s="1582">
        <f t="shared" si="4"/>
        <v>0</v>
      </c>
      <c r="AK14" s="1582">
        <f t="shared" si="4"/>
        <v>0</v>
      </c>
      <c r="AL14" s="1582">
        <f t="shared" si="4"/>
        <v>0</v>
      </c>
      <c r="AM14" s="1582">
        <f t="shared" si="4"/>
        <v>0</v>
      </c>
      <c r="AN14" s="1582">
        <f t="shared" si="4"/>
        <v>0</v>
      </c>
      <c r="AO14" s="1582">
        <f t="shared" si="4"/>
        <v>0</v>
      </c>
      <c r="AP14" s="1582">
        <f t="shared" si="4"/>
        <v>0</v>
      </c>
      <c r="AQ14" s="1582">
        <f t="shared" si="4"/>
        <v>0</v>
      </c>
      <c r="AR14" s="1582">
        <f t="shared" si="4"/>
        <v>0</v>
      </c>
      <c r="AS14" s="1582">
        <f t="shared" si="4"/>
        <v>0</v>
      </c>
      <c r="AT14" s="1582">
        <f t="shared" si="4"/>
        <v>0</v>
      </c>
      <c r="AU14" s="1582">
        <f t="shared" si="4"/>
        <v>0</v>
      </c>
      <c r="AV14" s="1582">
        <f t="shared" si="4"/>
        <v>0</v>
      </c>
      <c r="AW14" s="1582">
        <f t="shared" si="4"/>
        <v>0</v>
      </c>
      <c r="AX14" s="1582">
        <f t="shared" si="4"/>
        <v>0</v>
      </c>
      <c r="AY14" s="1582">
        <f t="shared" si="4"/>
        <v>0</v>
      </c>
      <c r="AZ14" s="1582">
        <f t="shared" si="4"/>
        <v>0</v>
      </c>
    </row>
    <row r="15" spans="1:225">
      <c r="A15" s="1583" t="s">
        <v>887</v>
      </c>
      <c r="B15" s="1584">
        <f>SUM(C15:AZ15)</f>
        <v>1</v>
      </c>
      <c r="C15" s="480">
        <f t="shared" ref="C15:AZ15" si="5">IF($B$14=0,"",C14/$B$14)</f>
        <v>1</v>
      </c>
      <c r="D15" s="480">
        <f t="shared" si="5"/>
        <v>0</v>
      </c>
      <c r="E15" s="480">
        <f t="shared" si="5"/>
        <v>0</v>
      </c>
      <c r="F15" s="480">
        <f t="shared" si="5"/>
        <v>0</v>
      </c>
      <c r="G15" s="480">
        <f t="shared" si="5"/>
        <v>0</v>
      </c>
      <c r="H15" s="480">
        <f t="shared" si="5"/>
        <v>0</v>
      </c>
      <c r="I15" s="480">
        <f t="shared" si="5"/>
        <v>0</v>
      </c>
      <c r="J15" s="480">
        <f t="shared" si="5"/>
        <v>0</v>
      </c>
      <c r="K15" s="480">
        <f t="shared" si="5"/>
        <v>0</v>
      </c>
      <c r="L15" s="480">
        <f t="shared" si="5"/>
        <v>0</v>
      </c>
      <c r="M15" s="480">
        <f t="shared" si="5"/>
        <v>0</v>
      </c>
      <c r="N15" s="480">
        <f t="shared" si="5"/>
        <v>0</v>
      </c>
      <c r="O15" s="480">
        <f t="shared" si="5"/>
        <v>0</v>
      </c>
      <c r="P15" s="480">
        <f t="shared" si="5"/>
        <v>0</v>
      </c>
      <c r="Q15" s="480">
        <f t="shared" si="5"/>
        <v>0</v>
      </c>
      <c r="R15" s="480">
        <f t="shared" si="5"/>
        <v>0</v>
      </c>
      <c r="S15" s="480">
        <f t="shared" si="5"/>
        <v>0</v>
      </c>
      <c r="T15" s="480">
        <f t="shared" si="5"/>
        <v>0</v>
      </c>
      <c r="U15" s="480">
        <f t="shared" si="5"/>
        <v>0</v>
      </c>
      <c r="V15" s="480">
        <f t="shared" si="5"/>
        <v>0</v>
      </c>
      <c r="W15" s="480">
        <f t="shared" si="5"/>
        <v>0</v>
      </c>
      <c r="X15" s="480">
        <f t="shared" si="5"/>
        <v>0</v>
      </c>
      <c r="Y15" s="480">
        <f t="shared" si="5"/>
        <v>0</v>
      </c>
      <c r="Z15" s="480">
        <f t="shared" si="5"/>
        <v>0</v>
      </c>
      <c r="AA15" s="480">
        <f t="shared" si="5"/>
        <v>0</v>
      </c>
      <c r="AB15" s="480">
        <f t="shared" si="5"/>
        <v>0</v>
      </c>
      <c r="AC15" s="480">
        <f t="shared" si="5"/>
        <v>0</v>
      </c>
      <c r="AD15" s="480">
        <f t="shared" si="5"/>
        <v>0</v>
      </c>
      <c r="AE15" s="480">
        <f t="shared" si="5"/>
        <v>0</v>
      </c>
      <c r="AF15" s="480">
        <f t="shared" si="5"/>
        <v>0</v>
      </c>
      <c r="AG15" s="480">
        <f t="shared" si="5"/>
        <v>0</v>
      </c>
      <c r="AH15" s="480">
        <f t="shared" si="5"/>
        <v>0</v>
      </c>
      <c r="AI15" s="480">
        <f t="shared" si="5"/>
        <v>0</v>
      </c>
      <c r="AJ15" s="480">
        <f t="shared" si="5"/>
        <v>0</v>
      </c>
      <c r="AK15" s="480">
        <f t="shared" si="5"/>
        <v>0</v>
      </c>
      <c r="AL15" s="480">
        <f t="shared" si="5"/>
        <v>0</v>
      </c>
      <c r="AM15" s="480">
        <f t="shared" si="5"/>
        <v>0</v>
      </c>
      <c r="AN15" s="480">
        <f t="shared" si="5"/>
        <v>0</v>
      </c>
      <c r="AO15" s="480">
        <f t="shared" si="5"/>
        <v>0</v>
      </c>
      <c r="AP15" s="480">
        <f t="shared" si="5"/>
        <v>0</v>
      </c>
      <c r="AQ15" s="480">
        <f t="shared" si="5"/>
        <v>0</v>
      </c>
      <c r="AR15" s="480">
        <f t="shared" si="5"/>
        <v>0</v>
      </c>
      <c r="AS15" s="480">
        <f t="shared" si="5"/>
        <v>0</v>
      </c>
      <c r="AT15" s="480">
        <f t="shared" si="5"/>
        <v>0</v>
      </c>
      <c r="AU15" s="480">
        <f t="shared" si="5"/>
        <v>0</v>
      </c>
      <c r="AV15" s="480">
        <f t="shared" si="5"/>
        <v>0</v>
      </c>
      <c r="AW15" s="480">
        <f t="shared" si="5"/>
        <v>0</v>
      </c>
      <c r="AX15" s="480">
        <f t="shared" si="5"/>
        <v>0</v>
      </c>
      <c r="AY15" s="480">
        <f t="shared" si="5"/>
        <v>0</v>
      </c>
      <c r="AZ15" s="480">
        <f t="shared" si="5"/>
        <v>0</v>
      </c>
    </row>
    <row r="16" spans="1:225">
      <c r="A16" s="1585" t="s">
        <v>428</v>
      </c>
      <c r="B16" s="1580">
        <f>SUM(C16:AZ16)</f>
        <v>0</v>
      </c>
      <c r="C16" s="969">
        <f>'Units&amp;Income'!G94-SUM('LIHTCs&amp;BLDGs'!D16:AZ16)</f>
        <v>0</v>
      </c>
      <c r="D16" s="971">
        <f>IF(D5="",0,IF(Setup!L8="No",0,ROUND(('Units&amp;Income'!$G$94)/Setup!$D$35,0)))</f>
        <v>0</v>
      </c>
      <c r="E16" s="971">
        <f>IF(E5="",0,IF(Setup!L8="No",0,ROUND(('Units&amp;Income'!$G$94)/Setup!$D$35,0)))</f>
        <v>0</v>
      </c>
      <c r="F16" s="971">
        <f>IF(F5="",0,IF(Setup!L8="No",0,ROUND(('Units&amp;Income'!$G$94)/Setup!$D$35,0)))</f>
        <v>0</v>
      </c>
      <c r="G16" s="971">
        <f>IF(G5="",0,IF(Setup!L8="No",0,ROUND(('Units&amp;Income'!$G$94)/Setup!$D$35,0)))</f>
        <v>0</v>
      </c>
      <c r="H16" s="971">
        <f>IF(H5="",0,IF(Setup!L8="No",0,ROUND(('Units&amp;Income'!$G$94)/Setup!$D$35,0)))</f>
        <v>0</v>
      </c>
      <c r="I16" s="971">
        <f>IF(I5="",0,IF(Setup!L8="No",0,ROUND(('Units&amp;Income'!$G$94)/Setup!$D$35,0)))</f>
        <v>0</v>
      </c>
      <c r="J16" s="971">
        <f>IF(J5="",0,IF(Setup!L8="No",0,ROUND(('Units&amp;Income'!$G$94)/Setup!$D$35,0)))</f>
        <v>0</v>
      </c>
      <c r="K16" s="971">
        <f>IF(K5="",0,IF(Setup!L8="No",0,ROUND(('Units&amp;Income'!$G$94)/Setup!$D$35,0)))</f>
        <v>0</v>
      </c>
      <c r="L16" s="971">
        <f>IF(L5="",0,IF(Setup!L8="No",0,ROUND(('Units&amp;Income'!$G$94)/Setup!$D$35,0)))</f>
        <v>0</v>
      </c>
      <c r="M16" s="971">
        <f>IF(M5="",0,IF(Setup!L8="No",0,ROUND(('Units&amp;Income'!$G$94)/Setup!$D$35,0)))</f>
        <v>0</v>
      </c>
      <c r="N16" s="971">
        <f>IF(N5="",0,IF(Setup!L8="No",0,ROUND(('Units&amp;Income'!$G$94)/Setup!$D$35,0)))</f>
        <v>0</v>
      </c>
      <c r="O16" s="971">
        <f>IF(O5="",0,IF(Setup!L8="No",0,ROUND(('Units&amp;Income'!$G$94)/Setup!$D$35,0)))</f>
        <v>0</v>
      </c>
      <c r="P16" s="971">
        <f>IF(P5="",0,IF(Setup!L8="No",0,ROUND(('Units&amp;Income'!$G$94)/Setup!$D$35,0)))</f>
        <v>0</v>
      </c>
      <c r="Q16" s="971">
        <f>IF(Q5="",0,IF(Setup!L8="No",0,ROUND(('Units&amp;Income'!$G$94)/Setup!$D$35,0)))</f>
        <v>0</v>
      </c>
      <c r="R16" s="971">
        <f>IF(R5="",0,IF(Setup!L8="No",0,ROUND(('Units&amp;Income'!$G$94)/Setup!$D$35,0)))</f>
        <v>0</v>
      </c>
      <c r="S16" s="971">
        <f>IF(S5="",0,IF(Setup!L8="No",0,ROUND(('Units&amp;Income'!$G$94)/Setup!$D$35,0)))</f>
        <v>0</v>
      </c>
      <c r="T16" s="971">
        <f>IF(T5="",0,IF(Setup!L8="No",0,ROUND(('Units&amp;Income'!$G$94)/Setup!$D$35,0)))</f>
        <v>0</v>
      </c>
      <c r="U16" s="971">
        <f>IF(U5="",0,IF(Setup!L8="No",0,ROUND(('Units&amp;Income'!$G$94)/Setup!$D$35,0)))</f>
        <v>0</v>
      </c>
      <c r="V16" s="971">
        <f>IF(V5="",0,IF(Setup!L8="No",0,ROUND(('Units&amp;Income'!$G$94)/Setup!$D$35,0)))</f>
        <v>0</v>
      </c>
      <c r="W16" s="971">
        <f>IF(W5="",0,IF(Setup!L8="No",0,ROUND(('Units&amp;Income'!$G$94)/Setup!$D$35,0)))</f>
        <v>0</v>
      </c>
      <c r="X16" s="971">
        <f>IF(W5="",0,IF(Setup!L8="No",0,ROUND(('Units&amp;Income'!$G$94)/Setup!$D$35,0)))</f>
        <v>0</v>
      </c>
      <c r="Y16" s="971">
        <f>IF(Y5="",0,IF(Setup!L8="No",0,ROUND(('Units&amp;Income'!$G$94)/Setup!$D$35,0)))</f>
        <v>0</v>
      </c>
      <c r="Z16" s="971">
        <f>IF(Z5="",0,IF(Setup!L8="No",0,ROUND(('Units&amp;Income'!$G$94)/Setup!$D$35,0)))</f>
        <v>0</v>
      </c>
      <c r="AA16" s="971">
        <f>IF(AA5="",0,IF(Setup!L8="No",0,ROUND(('Units&amp;Income'!$G$94)/Setup!$D$35,0)))</f>
        <v>0</v>
      </c>
      <c r="AB16" s="971">
        <f>IF(AB5="",0,IF(Setup!L8="No",0,ROUND(('Units&amp;Income'!$G$94)/Setup!$D$35,0)))</f>
        <v>0</v>
      </c>
      <c r="AC16" s="971">
        <f>IF(AC5="",0,IF(Setup!L8="No",0,ROUND(('Units&amp;Income'!$G$94)/Setup!$D$35,0)))</f>
        <v>0</v>
      </c>
      <c r="AD16" s="971">
        <f>IF(AD5="",0,IF(Setup!L8="No",0,ROUND(('Units&amp;Income'!$G$94)/Setup!$D$35,0)))</f>
        <v>0</v>
      </c>
      <c r="AE16" s="971">
        <f>IF(AE5="",0,IF(Setup!L8="No",0,ROUND(('Units&amp;Income'!$G$94)/Setup!$D$35,0)))</f>
        <v>0</v>
      </c>
      <c r="AF16" s="971">
        <f>IF(AF5="",0,IF(Setup!L8="No",0,ROUND(('Units&amp;Income'!$G$94)/Setup!$D$35,0)))</f>
        <v>0</v>
      </c>
      <c r="AG16" s="971">
        <f>IF(AG5="",0,IF(Setup!L8="No",0,ROUND(('Units&amp;Income'!$G$94)/Setup!$D$35,0)))</f>
        <v>0</v>
      </c>
      <c r="AH16" s="971">
        <f>IF(AH5="",0,IF(Setup!L8="No",0,ROUND(('Units&amp;Income'!$G$94)/Setup!$D$35,0)))</f>
        <v>0</v>
      </c>
      <c r="AI16" s="971">
        <f>IF(AI5="",0,IF(Setup!L8="No",0,ROUND(('Units&amp;Income'!$G$94)/Setup!$D$35,0)))</f>
        <v>0</v>
      </c>
      <c r="AJ16" s="971">
        <f>IF(AJ5="",0,IF(Setup!L8="No",0,ROUND(('Units&amp;Income'!$G$94)/Setup!$D$35,0)))</f>
        <v>0</v>
      </c>
      <c r="AK16" s="971">
        <f>IF(AK5="",0,IF(Setup!L8="No",0,ROUND(('Units&amp;Income'!$G$94)/Setup!$D$35,0)))</f>
        <v>0</v>
      </c>
      <c r="AL16" s="971">
        <f>IF(AL5="",0,IF(Setup!L8="No",0,ROUND(('Units&amp;Income'!$G$94)/Setup!$D$35,0)))</f>
        <v>0</v>
      </c>
      <c r="AM16" s="971">
        <f>IF(AM5="",0,IF(Setup!L8="No",0,ROUND(('Units&amp;Income'!$G$94)/Setup!$D$35,0)))</f>
        <v>0</v>
      </c>
      <c r="AN16" s="971">
        <f>IF(AN5="",0,IF(Setup!L8="No",0,ROUND(('Units&amp;Income'!$G$94)/Setup!$D$35,0)))</f>
        <v>0</v>
      </c>
      <c r="AO16" s="971">
        <f>IF(AO5="",0,IF(Setup!L8="No",0,ROUND(('Units&amp;Income'!$G$94)/Setup!$D$35,0)))</f>
        <v>0</v>
      </c>
      <c r="AP16" s="971">
        <f>IF(AP5="",0,IF(Setup!L8="No",0,ROUND(('Units&amp;Income'!$G$94)/Setup!$D$35,0)))</f>
        <v>0</v>
      </c>
      <c r="AQ16" s="971">
        <f>IF(AQ5="",0,IF(Setup!L8="No",0,ROUND(('Units&amp;Income'!$G$94)/Setup!$D$35,0)))</f>
        <v>0</v>
      </c>
      <c r="AR16" s="971">
        <f>IF(AR5="",0,IF(Setup!L8="No",0,ROUND(('Units&amp;Income'!$G$94)/Setup!$D$35,0)))</f>
        <v>0</v>
      </c>
      <c r="AS16" s="971">
        <f>IF(AS5="",0,IF(Setup!L8="No",0,ROUND(('Units&amp;Income'!$G$94)/Setup!$D$35,0)))</f>
        <v>0</v>
      </c>
      <c r="AT16" s="971">
        <f>IF(AT5="",0,IF(Setup!L8="No",0,ROUND(('Units&amp;Income'!$G$94)/Setup!$D$35,0)))</f>
        <v>0</v>
      </c>
      <c r="AU16" s="971">
        <f>IF(AU5="",0,IF(Setup!L8="No",0,ROUND(('Units&amp;Income'!$G$94)/Setup!$D$35,0)))</f>
        <v>0</v>
      </c>
      <c r="AV16" s="971">
        <f>IF(AV5="",0,IF(Setup!L8="No",0,ROUND(('Units&amp;Income'!$G$94)/Setup!$D$35,0)))</f>
        <v>0</v>
      </c>
      <c r="AW16" s="971">
        <f>IF(AW5="",0,IF(Setup!L8="No",0,ROUND(('Units&amp;Income'!$G$94)/Setup!$D$35,0)))</f>
        <v>0</v>
      </c>
      <c r="AX16" s="971">
        <f>IF(AX5="",0,IF(Setup!L8="No",0,ROUND(('Units&amp;Income'!$G$94)/Setup!$D$35,0)))</f>
        <v>0</v>
      </c>
      <c r="AY16" s="971">
        <f>IF(AY5="",0,IF(Setup!L8="No",0,ROUND(('Units&amp;Income'!$G$94)/Setup!$D$35,0)))</f>
        <v>0</v>
      </c>
      <c r="AZ16" s="971">
        <f>IF(AZ5="",0,IF(Setup!L8="No",0,ROUND(('Units&amp;Income'!$G$94)/Setup!$D$35,0)))</f>
        <v>0</v>
      </c>
    </row>
    <row r="17" spans="1:225">
      <c r="A17" s="1585" t="s">
        <v>888</v>
      </c>
      <c r="B17" s="1580">
        <f>SUM(C17:AZ17)</f>
        <v>0</v>
      </c>
      <c r="C17" s="969">
        <f>A80-SUM('LIHTCs&amp;BLDGs'!D17:AZ17)</f>
        <v>0</v>
      </c>
      <c r="D17" s="971">
        <f>IF(D5="",0,ROUND(A80/Setup!$D$35,0))</f>
        <v>0</v>
      </c>
      <c r="E17" s="971">
        <f>IF(E5="",0,ROUND(A80/Setup!$D$35,0))</f>
        <v>0</v>
      </c>
      <c r="F17" s="971">
        <f>IF(F5="",0,ROUND(A80/Setup!$D$35,0))</f>
        <v>0</v>
      </c>
      <c r="G17" s="971">
        <f>IF(G5="",0,ROUND(A80/Setup!$D$35,0))</f>
        <v>0</v>
      </c>
      <c r="H17" s="971">
        <f>IF(H5="",0,ROUND(A80/Setup!$D$35,0))</f>
        <v>0</v>
      </c>
      <c r="I17" s="971">
        <f>IF(I5="",0,ROUND(A80/Setup!$D$35,0))</f>
        <v>0</v>
      </c>
      <c r="J17" s="971">
        <f>IF(J5="",0,ROUND(A80/Setup!$D$35,0))</f>
        <v>0</v>
      </c>
      <c r="K17" s="971">
        <f>IF(K5="",0,ROUND(A80/Setup!$D$35,0))</f>
        <v>0</v>
      </c>
      <c r="L17" s="971">
        <f>IF(L5="",0,ROUND(A80/Setup!$D$35,0))</f>
        <v>0</v>
      </c>
      <c r="M17" s="971">
        <f>IF(M5="",0,ROUND(A80/Setup!$D$35,0))</f>
        <v>0</v>
      </c>
      <c r="N17" s="971">
        <f>IF(N5="",0,ROUND(A80/Setup!$D$35,0))</f>
        <v>0</v>
      </c>
      <c r="O17" s="971">
        <f>IF(O5="",0,ROUND(A80/Setup!$D$35,0))</f>
        <v>0</v>
      </c>
      <c r="P17" s="971">
        <f>IF(P5="",0,ROUND(A80/Setup!$D$35,0))</f>
        <v>0</v>
      </c>
      <c r="Q17" s="971">
        <f>IF(Q5="",0,ROUND(A80/Setup!$D$35,0))</f>
        <v>0</v>
      </c>
      <c r="R17" s="971">
        <f>IF(R5="",0,ROUND(A80/Setup!$D$35,0))</f>
        <v>0</v>
      </c>
      <c r="S17" s="971">
        <f>IF(S5="",0,ROUND(A80/Setup!$D$35,0))</f>
        <v>0</v>
      </c>
      <c r="T17" s="971">
        <f>IF(T5="",0,ROUND(A80/Setup!$D$35,0))</f>
        <v>0</v>
      </c>
      <c r="U17" s="971">
        <f>IF(U5="",0,ROUND(A80/Setup!$D$35,0))</f>
        <v>0</v>
      </c>
      <c r="V17" s="971">
        <f>IF(V5="",0,ROUND(A80/Setup!$D$35,0))</f>
        <v>0</v>
      </c>
      <c r="W17" s="971">
        <f>IF(W5="",0,ROUND(A80/Setup!$D$35,0))</f>
        <v>0</v>
      </c>
      <c r="X17" s="971">
        <f>IF(X5="",0,ROUND(A80/Setup!$D$35,0))</f>
        <v>0</v>
      </c>
      <c r="Y17" s="971">
        <f>IF(Y5="",0,ROUND(A80/Setup!$D$35,0))</f>
        <v>0</v>
      </c>
      <c r="Z17" s="971">
        <f>IF(Z5="",0,ROUND(A80/Setup!$D$35,0))</f>
        <v>0</v>
      </c>
      <c r="AA17" s="971">
        <f>IF(AA5="",0,ROUND(A80/Setup!$D$35,0))</f>
        <v>0</v>
      </c>
      <c r="AB17" s="971">
        <f>IF(AB5="",0,ROUND(A80/Setup!$D$35,0))</f>
        <v>0</v>
      </c>
      <c r="AC17" s="971">
        <f>IF(AC5="",0,ROUND(A80/Setup!$D$35,0))</f>
        <v>0</v>
      </c>
      <c r="AD17" s="971">
        <f>IF(AD5="",0,ROUND(A80/Setup!$D$35,0))</f>
        <v>0</v>
      </c>
      <c r="AE17" s="971">
        <f>IF(AE5="",0,ROUND(A80/Setup!$D$35,0))</f>
        <v>0</v>
      </c>
      <c r="AF17" s="971">
        <f>IF(AF5="",0,ROUND(A80/Setup!$D$35,0))</f>
        <v>0</v>
      </c>
      <c r="AG17" s="971">
        <f>IF(AG5="",0,ROUND(A80/Setup!$D$35,0))</f>
        <v>0</v>
      </c>
      <c r="AH17" s="971">
        <f>IF(AH5="",0,ROUND(A80/Setup!$D$35,0))</f>
        <v>0</v>
      </c>
      <c r="AI17" s="971">
        <f>IF(AI5="",0,ROUND(A80/Setup!$D$35,0))</f>
        <v>0</v>
      </c>
      <c r="AJ17" s="971">
        <f>IF(AJ5="",0,ROUND(A80/Setup!$D$35,0))</f>
        <v>0</v>
      </c>
      <c r="AK17" s="971">
        <f>IF(AK5="",0,ROUND(A80/Setup!$D$35,0))</f>
        <v>0</v>
      </c>
      <c r="AL17" s="971">
        <f>IF(AL5="",0,ROUND(A80/Setup!$D$35,0))</f>
        <v>0</v>
      </c>
      <c r="AM17" s="971">
        <f>IF(AM5="",0,ROUND(A80/Setup!$D$35,0))</f>
        <v>0</v>
      </c>
      <c r="AN17" s="971">
        <f>IF(AN5="",0,ROUND(A80/Setup!$D$35,0))</f>
        <v>0</v>
      </c>
      <c r="AO17" s="971">
        <f>IF(AO5="",0,ROUND(A80/Setup!$D$35,0))</f>
        <v>0</v>
      </c>
      <c r="AP17" s="971">
        <f>IF(AP5="",0,ROUND(A80/Setup!$D$35,0))</f>
        <v>0</v>
      </c>
      <c r="AQ17" s="971">
        <f>IF(AQ5="",0,ROUND(A80/Setup!$D$35,0))</f>
        <v>0</v>
      </c>
      <c r="AR17" s="971">
        <f>IF(AR5="",0,ROUND(A80/Setup!$D$35,0))</f>
        <v>0</v>
      </c>
      <c r="AS17" s="971">
        <f>IF(AS5="",0,ROUND(A80/Setup!$D$35,0))</f>
        <v>0</v>
      </c>
      <c r="AT17" s="971">
        <f>IF(AT5="",0,ROUND(A80/Setup!$D$35,0))</f>
        <v>0</v>
      </c>
      <c r="AU17" s="971">
        <f>IF(AU5="",0,ROUND(A80/Setup!$D$35,0))</f>
        <v>0</v>
      </c>
      <c r="AV17" s="971">
        <f>IF(AV5="",0,ROUND(A80/Setup!$D$35,0))</f>
        <v>0</v>
      </c>
      <c r="AW17" s="971">
        <f>IF(AW5="",0,ROUND(A80/Setup!$D$35,0))</f>
        <v>0</v>
      </c>
      <c r="AX17" s="971">
        <f>IF(AX5="",0,ROUND(A80/Setup!$D$35,0))</f>
        <v>0</v>
      </c>
      <c r="AY17" s="971">
        <f>IF(AY5="",0,ROUND(A80/Setup!$D$35,0))</f>
        <v>0</v>
      </c>
      <c r="AZ17" s="971">
        <f>IF(AZ5="",0,ROUND(A80/Setup!$D$35,0))</f>
        <v>0</v>
      </c>
    </row>
    <row r="18" spans="1:225" ht="14.25" customHeight="1" thickBot="1">
      <c r="A18" s="1586" t="s">
        <v>889</v>
      </c>
      <c r="B18" s="1580">
        <f>SUM(C18:AZ18)</f>
        <v>0</v>
      </c>
      <c r="C18" s="970">
        <f>'Units&amp;Income'!F94-SUM(D18:AZ18)</f>
        <v>0</v>
      </c>
      <c r="D18" s="972">
        <v>0</v>
      </c>
      <c r="E18" s="972">
        <v>0</v>
      </c>
      <c r="F18" s="972">
        <v>0</v>
      </c>
      <c r="G18" s="972">
        <v>0</v>
      </c>
      <c r="H18" s="972">
        <v>0</v>
      </c>
      <c r="I18" s="972">
        <v>0</v>
      </c>
      <c r="J18" s="972">
        <v>0</v>
      </c>
      <c r="K18" s="972">
        <v>0</v>
      </c>
      <c r="L18" s="972">
        <v>0</v>
      </c>
      <c r="M18" s="972">
        <v>0</v>
      </c>
      <c r="N18" s="972">
        <v>0</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972">
        <v>0</v>
      </c>
      <c r="AP18" s="972">
        <v>0</v>
      </c>
      <c r="AQ18" s="972">
        <v>0</v>
      </c>
      <c r="AR18" s="972">
        <v>0</v>
      </c>
      <c r="AS18" s="972">
        <v>0</v>
      </c>
      <c r="AT18" s="972">
        <v>0</v>
      </c>
      <c r="AU18" s="972">
        <v>0</v>
      </c>
      <c r="AV18" s="972">
        <v>0</v>
      </c>
      <c r="AW18" s="972">
        <v>0</v>
      </c>
      <c r="AX18" s="972">
        <v>0</v>
      </c>
      <c r="AY18" s="972">
        <v>0</v>
      </c>
      <c r="AZ18" s="972">
        <v>0</v>
      </c>
    </row>
    <row r="19" spans="1:225" ht="15" customHeight="1" thickTop="1">
      <c r="A19" s="1587" t="s">
        <v>421</v>
      </c>
      <c r="B19" s="1588"/>
      <c r="C19" s="1589">
        <f t="shared" ref="C19:AZ19" si="6">SUM(C16:C18)</f>
        <v>0</v>
      </c>
      <c r="D19" s="1590">
        <f t="shared" si="6"/>
        <v>0</v>
      </c>
      <c r="E19" s="1589">
        <f t="shared" si="6"/>
        <v>0</v>
      </c>
      <c r="F19" s="1589">
        <f t="shared" si="6"/>
        <v>0</v>
      </c>
      <c r="G19" s="1589">
        <f t="shared" si="6"/>
        <v>0</v>
      </c>
      <c r="H19" s="1589">
        <f t="shared" si="6"/>
        <v>0</v>
      </c>
      <c r="I19" s="1589">
        <f t="shared" si="6"/>
        <v>0</v>
      </c>
      <c r="J19" s="1589">
        <f t="shared" si="6"/>
        <v>0</v>
      </c>
      <c r="K19" s="1589">
        <f t="shared" si="6"/>
        <v>0</v>
      </c>
      <c r="L19" s="1589">
        <f t="shared" si="6"/>
        <v>0</v>
      </c>
      <c r="M19" s="1589">
        <f t="shared" si="6"/>
        <v>0</v>
      </c>
      <c r="N19" s="1589">
        <f t="shared" si="6"/>
        <v>0</v>
      </c>
      <c r="O19" s="1589">
        <f t="shared" si="6"/>
        <v>0</v>
      </c>
      <c r="P19" s="1589">
        <f t="shared" si="6"/>
        <v>0</v>
      </c>
      <c r="Q19" s="1589">
        <f t="shared" si="6"/>
        <v>0</v>
      </c>
      <c r="R19" s="1589">
        <f t="shared" si="6"/>
        <v>0</v>
      </c>
      <c r="S19" s="1589">
        <f t="shared" si="6"/>
        <v>0</v>
      </c>
      <c r="T19" s="1589">
        <f t="shared" si="6"/>
        <v>0</v>
      </c>
      <c r="U19" s="1589">
        <f t="shared" si="6"/>
        <v>0</v>
      </c>
      <c r="V19" s="1589">
        <f t="shared" si="6"/>
        <v>0</v>
      </c>
      <c r="W19" s="1589">
        <f t="shared" si="6"/>
        <v>0</v>
      </c>
      <c r="X19" s="1589">
        <f t="shared" si="6"/>
        <v>0</v>
      </c>
      <c r="Y19" s="1589">
        <f t="shared" si="6"/>
        <v>0</v>
      </c>
      <c r="Z19" s="1589">
        <f t="shared" si="6"/>
        <v>0</v>
      </c>
      <c r="AA19" s="1589">
        <f t="shared" si="6"/>
        <v>0</v>
      </c>
      <c r="AB19" s="1589">
        <f t="shared" si="6"/>
        <v>0</v>
      </c>
      <c r="AC19" s="1589">
        <f t="shared" si="6"/>
        <v>0</v>
      </c>
      <c r="AD19" s="1589">
        <f t="shared" si="6"/>
        <v>0</v>
      </c>
      <c r="AE19" s="1589">
        <f t="shared" si="6"/>
        <v>0</v>
      </c>
      <c r="AF19" s="1589">
        <f t="shared" si="6"/>
        <v>0</v>
      </c>
      <c r="AG19" s="1589">
        <f t="shared" si="6"/>
        <v>0</v>
      </c>
      <c r="AH19" s="1589">
        <f t="shared" si="6"/>
        <v>0</v>
      </c>
      <c r="AI19" s="1589">
        <f t="shared" si="6"/>
        <v>0</v>
      </c>
      <c r="AJ19" s="1589">
        <f t="shared" si="6"/>
        <v>0</v>
      </c>
      <c r="AK19" s="1589">
        <f t="shared" si="6"/>
        <v>0</v>
      </c>
      <c r="AL19" s="1589">
        <f t="shared" si="6"/>
        <v>0</v>
      </c>
      <c r="AM19" s="1589">
        <f t="shared" si="6"/>
        <v>0</v>
      </c>
      <c r="AN19" s="1589">
        <f t="shared" si="6"/>
        <v>0</v>
      </c>
      <c r="AO19" s="1589">
        <f t="shared" si="6"/>
        <v>0</v>
      </c>
      <c r="AP19" s="1589">
        <f t="shared" si="6"/>
        <v>0</v>
      </c>
      <c r="AQ19" s="1589">
        <f t="shared" si="6"/>
        <v>0</v>
      </c>
      <c r="AR19" s="1589">
        <f t="shared" si="6"/>
        <v>0</v>
      </c>
      <c r="AS19" s="1589">
        <f t="shared" si="6"/>
        <v>0</v>
      </c>
      <c r="AT19" s="1589">
        <f t="shared" si="6"/>
        <v>0</v>
      </c>
      <c r="AU19" s="1589">
        <f t="shared" si="6"/>
        <v>0</v>
      </c>
      <c r="AV19" s="1589">
        <f t="shared" si="6"/>
        <v>0</v>
      </c>
      <c r="AW19" s="1589">
        <f t="shared" si="6"/>
        <v>0</v>
      </c>
      <c r="AX19" s="1589">
        <f t="shared" si="6"/>
        <v>0</v>
      </c>
      <c r="AY19" s="1589">
        <f t="shared" si="6"/>
        <v>0</v>
      </c>
      <c r="AZ19" s="1589">
        <f t="shared" si="6"/>
        <v>0</v>
      </c>
    </row>
    <row r="20" spans="1:225" ht="12.2" customHeight="1">
      <c r="A20" s="1591"/>
      <c r="B20" s="1592"/>
      <c r="C20" s="1593"/>
      <c r="D20" s="1594"/>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c r="AK20" s="1593"/>
      <c r="AL20" s="1593"/>
      <c r="AM20" s="1593"/>
      <c r="AN20" s="1593"/>
      <c r="AO20" s="1593"/>
      <c r="AP20" s="1593"/>
      <c r="AQ20" s="1593"/>
      <c r="AR20" s="1593"/>
      <c r="AS20" s="1593"/>
      <c r="AT20" s="1593"/>
      <c r="AU20" s="1593"/>
      <c r="AV20" s="1593"/>
      <c r="AW20" s="1593"/>
      <c r="AX20" s="1593"/>
      <c r="AY20" s="1593"/>
      <c r="AZ20" s="1593"/>
    </row>
    <row r="21" spans="1:225" ht="12.2" customHeight="1">
      <c r="A21" s="1595" t="s">
        <v>890</v>
      </c>
      <c r="B21" s="1596"/>
      <c r="C21" s="483" t="str">
        <f t="shared" ref="C21:AZ21" si="7">IF(C16="","",IF(C16=0,"",C16/(C16+C17)))</f>
        <v/>
      </c>
      <c r="D21" s="483" t="str">
        <f t="shared" si="7"/>
        <v/>
      </c>
      <c r="E21" s="483" t="str">
        <f t="shared" si="7"/>
        <v/>
      </c>
      <c r="F21" s="483" t="str">
        <f t="shared" si="7"/>
        <v/>
      </c>
      <c r="G21" s="483" t="str">
        <f t="shared" si="7"/>
        <v/>
      </c>
      <c r="H21" s="483" t="str">
        <f t="shared" si="7"/>
        <v/>
      </c>
      <c r="I21" s="483" t="str">
        <f t="shared" si="7"/>
        <v/>
      </c>
      <c r="J21" s="483" t="str">
        <f t="shared" si="7"/>
        <v/>
      </c>
      <c r="K21" s="483" t="str">
        <f t="shared" si="7"/>
        <v/>
      </c>
      <c r="L21" s="483" t="str">
        <f t="shared" si="7"/>
        <v/>
      </c>
      <c r="M21" s="483" t="str">
        <f t="shared" si="7"/>
        <v/>
      </c>
      <c r="N21" s="483" t="str">
        <f t="shared" si="7"/>
        <v/>
      </c>
      <c r="O21" s="483" t="str">
        <f t="shared" si="7"/>
        <v/>
      </c>
      <c r="P21" s="483" t="str">
        <f t="shared" si="7"/>
        <v/>
      </c>
      <c r="Q21" s="483" t="str">
        <f t="shared" si="7"/>
        <v/>
      </c>
      <c r="R21" s="483" t="str">
        <f t="shared" si="7"/>
        <v/>
      </c>
      <c r="S21" s="483" t="str">
        <f t="shared" si="7"/>
        <v/>
      </c>
      <c r="T21" s="483" t="str">
        <f t="shared" si="7"/>
        <v/>
      </c>
      <c r="U21" s="483" t="str">
        <f t="shared" si="7"/>
        <v/>
      </c>
      <c r="V21" s="483" t="str">
        <f t="shared" si="7"/>
        <v/>
      </c>
      <c r="W21" s="483" t="str">
        <f t="shared" si="7"/>
        <v/>
      </c>
      <c r="X21" s="483" t="str">
        <f t="shared" si="7"/>
        <v/>
      </c>
      <c r="Y21" s="483" t="str">
        <f t="shared" si="7"/>
        <v/>
      </c>
      <c r="Z21" s="483" t="str">
        <f t="shared" si="7"/>
        <v/>
      </c>
      <c r="AA21" s="483" t="str">
        <f t="shared" si="7"/>
        <v/>
      </c>
      <c r="AB21" s="483" t="str">
        <f t="shared" si="7"/>
        <v/>
      </c>
      <c r="AC21" s="483" t="str">
        <f t="shared" si="7"/>
        <v/>
      </c>
      <c r="AD21" s="483" t="str">
        <f t="shared" si="7"/>
        <v/>
      </c>
      <c r="AE21" s="483" t="str">
        <f t="shared" si="7"/>
        <v/>
      </c>
      <c r="AF21" s="483" t="str">
        <f t="shared" si="7"/>
        <v/>
      </c>
      <c r="AG21" s="483" t="str">
        <f t="shared" si="7"/>
        <v/>
      </c>
      <c r="AH21" s="483" t="str">
        <f t="shared" si="7"/>
        <v/>
      </c>
      <c r="AI21" s="483" t="str">
        <f t="shared" si="7"/>
        <v/>
      </c>
      <c r="AJ21" s="483" t="str">
        <f t="shared" si="7"/>
        <v/>
      </c>
      <c r="AK21" s="483" t="str">
        <f t="shared" si="7"/>
        <v/>
      </c>
      <c r="AL21" s="483" t="str">
        <f t="shared" si="7"/>
        <v/>
      </c>
      <c r="AM21" s="483" t="str">
        <f t="shared" si="7"/>
        <v/>
      </c>
      <c r="AN21" s="483" t="str">
        <f t="shared" si="7"/>
        <v/>
      </c>
      <c r="AO21" s="483" t="str">
        <f t="shared" si="7"/>
        <v/>
      </c>
      <c r="AP21" s="483" t="str">
        <f t="shared" si="7"/>
        <v/>
      </c>
      <c r="AQ21" s="483" t="str">
        <f t="shared" si="7"/>
        <v/>
      </c>
      <c r="AR21" s="483" t="str">
        <f t="shared" si="7"/>
        <v/>
      </c>
      <c r="AS21" s="483" t="str">
        <f t="shared" si="7"/>
        <v/>
      </c>
      <c r="AT21" s="483" t="str">
        <f t="shared" si="7"/>
        <v/>
      </c>
      <c r="AU21" s="483" t="str">
        <f t="shared" si="7"/>
        <v/>
      </c>
      <c r="AV21" s="483" t="str">
        <f t="shared" si="7"/>
        <v/>
      </c>
      <c r="AW21" s="483" t="str">
        <f t="shared" si="7"/>
        <v/>
      </c>
      <c r="AX21" s="483" t="str">
        <f t="shared" si="7"/>
        <v/>
      </c>
      <c r="AY21" s="483" t="str">
        <f t="shared" si="7"/>
        <v/>
      </c>
      <c r="AZ21" s="484" t="str">
        <f t="shared" si="7"/>
        <v/>
      </c>
    </row>
    <row r="22" spans="1:225" ht="12.2" customHeight="1">
      <c r="A22" s="1597" t="s">
        <v>891</v>
      </c>
      <c r="B22" s="1580">
        <f>'Units&amp;Income'!BB94</f>
        <v>0</v>
      </c>
      <c r="C22" s="973">
        <f>B22-SUM(D22:AZ22)</f>
        <v>0</v>
      </c>
      <c r="D22" s="485">
        <f>IF(A80=0,0,('Units&amp;Income'!BB94/'Units&amp;Income'!G94)*D16)</f>
        <v>0</v>
      </c>
      <c r="E22" s="485">
        <f>IF(A80=0,0,('Units&amp;Income'!BB94/'Units&amp;Income'!G94)*E16)</f>
        <v>0</v>
      </c>
      <c r="F22" s="485">
        <f>IF(A80=0,0,('Units&amp;Income'!BB94/'Units&amp;Income'!G94)*F16)</f>
        <v>0</v>
      </c>
      <c r="G22" s="485">
        <f>IF(A80=0,0,('Units&amp;Income'!BB94/'Units&amp;Income'!G94)*G16)</f>
        <v>0</v>
      </c>
      <c r="H22" s="485">
        <f>IF(A80=0,0,('Units&amp;Income'!BB94/'Units&amp;Income'!G94)*H16)</f>
        <v>0</v>
      </c>
      <c r="I22" s="485">
        <f>IF(A80=0,0,('Units&amp;Income'!BB94/'Units&amp;Income'!G94)*I16)</f>
        <v>0</v>
      </c>
      <c r="J22" s="485">
        <f>IF(A80=0,0,('Units&amp;Income'!BB94/'Units&amp;Income'!G94)*J16)</f>
        <v>0</v>
      </c>
      <c r="K22" s="485">
        <f>IF(A80=0,0,('Units&amp;Income'!BB94/'Units&amp;Income'!G94)*K16)</f>
        <v>0</v>
      </c>
      <c r="L22" s="485">
        <f>IF(A80=0,0,('Units&amp;Income'!BB94/'Units&amp;Income'!G94)*L16)</f>
        <v>0</v>
      </c>
      <c r="M22" s="485">
        <f>IF(A80=0,0,('Units&amp;Income'!BB94/'Units&amp;Income'!G94)*M16)</f>
        <v>0</v>
      </c>
      <c r="N22" s="485">
        <f>IF(A80=0,0,('Units&amp;Income'!BB94/'Units&amp;Income'!G94)*N16)</f>
        <v>0</v>
      </c>
      <c r="O22" s="485">
        <f>IF(A80=0,0,('Units&amp;Income'!BB94/'Units&amp;Income'!G94)*O16)</f>
        <v>0</v>
      </c>
      <c r="P22" s="485">
        <f>IF(A80=0,0,('Units&amp;Income'!BB94/'Units&amp;Income'!G94)*P16)</f>
        <v>0</v>
      </c>
      <c r="Q22" s="485">
        <f>IF(A80=0,0,('Units&amp;Income'!BB94/'Units&amp;Income'!G94)*Q16)</f>
        <v>0</v>
      </c>
      <c r="R22" s="485">
        <f>IF(A80=0,0,('Units&amp;Income'!BB94/'Units&amp;Income'!G94)*R16)</f>
        <v>0</v>
      </c>
      <c r="S22" s="485">
        <f>IF(A80=0,0,('Units&amp;Income'!BB94/'Units&amp;Income'!G94)*S16)</f>
        <v>0</v>
      </c>
      <c r="T22" s="485">
        <f>IF(A80=0,0,('Units&amp;Income'!BB94/'Units&amp;Income'!G94)*T16)</f>
        <v>0</v>
      </c>
      <c r="U22" s="485">
        <f>IF(A80=0,0,('Units&amp;Income'!BB94/'Units&amp;Income'!G94)*U16)</f>
        <v>0</v>
      </c>
      <c r="V22" s="485">
        <f>IF(A80=0,0,('Units&amp;Income'!BB94/'Units&amp;Income'!G94)*V16)</f>
        <v>0</v>
      </c>
      <c r="W22" s="485">
        <f>IF(A80=0,0,('Units&amp;Income'!BB94/'Units&amp;Income'!G94)*W16)</f>
        <v>0</v>
      </c>
      <c r="X22" s="485">
        <f>IF(A80=0,0,('Units&amp;Income'!BB94/'Units&amp;Income'!G94)*X16)</f>
        <v>0</v>
      </c>
      <c r="Y22" s="485">
        <f>IF(A80=0,0,('Units&amp;Income'!BB94/'Units&amp;Income'!G94)*Y16)</f>
        <v>0</v>
      </c>
      <c r="Z22" s="485">
        <f>IF(A80=0,0,('Units&amp;Income'!BB94/'Units&amp;Income'!G94)*Z16)</f>
        <v>0</v>
      </c>
      <c r="AA22" s="485">
        <f>IF(A80=0,0,('Units&amp;Income'!BB94/'Units&amp;Income'!G94)*AA16)</f>
        <v>0</v>
      </c>
      <c r="AB22" s="485">
        <f>IF(A80=0,0,('Units&amp;Income'!BB94/'Units&amp;Income'!G94)*AB16)</f>
        <v>0</v>
      </c>
      <c r="AC22" s="485">
        <f>IF(A80=0,0,('Units&amp;Income'!BB94/'Units&amp;Income'!G94)*AC16)</f>
        <v>0</v>
      </c>
      <c r="AD22" s="485">
        <f>IF(A80=0,0,('Units&amp;Income'!BB94/'Units&amp;Income'!G94)*AD16)</f>
        <v>0</v>
      </c>
      <c r="AE22" s="485">
        <f>IF(A80=0,0,('Units&amp;Income'!BB94/'Units&amp;Income'!G94)*AE16)</f>
        <v>0</v>
      </c>
      <c r="AF22" s="485">
        <f>IF(A80=0,0,('Units&amp;Income'!BB94/'Units&amp;Income'!G94)*AF16)</f>
        <v>0</v>
      </c>
      <c r="AG22" s="485">
        <f>IF(A80=0,0,('Units&amp;Income'!BB94/'Units&amp;Income'!G94)*AG16)</f>
        <v>0</v>
      </c>
      <c r="AH22" s="485">
        <f>IF(A80=0,0,('Units&amp;Income'!BB94/'Units&amp;Income'!G94)*AH16)</f>
        <v>0</v>
      </c>
      <c r="AI22" s="485">
        <f>IF(A80=0,0,('Units&amp;Income'!BB94/'Units&amp;Income'!G94)*AI16)</f>
        <v>0</v>
      </c>
      <c r="AJ22" s="485">
        <f>IF(A80=0,0,('Units&amp;Income'!BB94/'Units&amp;Income'!G94)*AJ16)</f>
        <v>0</v>
      </c>
      <c r="AK22" s="485">
        <f>IF(A80=0,0,('Units&amp;Income'!BB94/'Units&amp;Income'!G94)*AK16)</f>
        <v>0</v>
      </c>
      <c r="AL22" s="485">
        <f>IF(A80=0,0,('Units&amp;Income'!BB94/'Units&amp;Income'!G94)*AL16)</f>
        <v>0</v>
      </c>
      <c r="AM22" s="485">
        <f>IF(A80=0,0,('Units&amp;Income'!BB94/'Units&amp;Income'!G94)*AM16)</f>
        <v>0</v>
      </c>
      <c r="AN22" s="485">
        <f>IF(A80=0,0,('Units&amp;Income'!BB94/'Units&amp;Income'!G94)*AN16)</f>
        <v>0</v>
      </c>
      <c r="AO22" s="485">
        <f>IF(A80=0,0,('Units&amp;Income'!BB94/'Units&amp;Income'!G94)*AO16)</f>
        <v>0</v>
      </c>
      <c r="AP22" s="485">
        <f>IF(A80=0,0,('Units&amp;Income'!BB94/'Units&amp;Income'!G94)*AP16)</f>
        <v>0</v>
      </c>
      <c r="AQ22" s="485">
        <f>IF(A80=0,0,('Units&amp;Income'!BB94/'Units&amp;Income'!G94)*AQ16)</f>
        <v>0</v>
      </c>
      <c r="AR22" s="485">
        <f>IF(A80=0,0,('Units&amp;Income'!BB94/'Units&amp;Income'!G94)*AR16)</f>
        <v>0</v>
      </c>
      <c r="AS22" s="485">
        <f>IF(A80=0,0,('Units&amp;Income'!BB94/'Units&amp;Income'!G94)*AS16)</f>
        <v>0</v>
      </c>
      <c r="AT22" s="485">
        <f>IF(A80=0,0,('Units&amp;Income'!BB94/'Units&amp;Income'!G94)*AT16)</f>
        <v>0</v>
      </c>
      <c r="AU22" s="485">
        <f>IF(A80=0,0,('Units&amp;Income'!BB94/'Units&amp;Income'!G94)*AU16)</f>
        <v>0</v>
      </c>
      <c r="AV22" s="485">
        <f>IF(A80=0,0,('Units&amp;Income'!BB94/'Units&amp;Income'!G94)*AV16)</f>
        <v>0</v>
      </c>
      <c r="AW22" s="485">
        <f>IF(A80=0,0,('Units&amp;Income'!BB94/'Units&amp;Income'!G94)*AW16)</f>
        <v>0</v>
      </c>
      <c r="AX22" s="485">
        <f>IF(A80=0,0,('Units&amp;Income'!BB94/'Units&amp;Income'!G94)*AX16)</f>
        <v>0</v>
      </c>
      <c r="AY22" s="485">
        <f>IF(A80=0,0,('Units&amp;Income'!BB94/'Units&amp;Income'!G94)*AY16)</f>
        <v>0</v>
      </c>
      <c r="AZ22" s="486">
        <f>IF(A80=0,0,('Units&amp;Income'!BB94/'Units&amp;Income'!G94)*AZ16)</f>
        <v>0</v>
      </c>
    </row>
    <row r="23" spans="1:225" ht="12.2" customHeight="1">
      <c r="A23" s="1585" t="s">
        <v>892</v>
      </c>
      <c r="B23" s="1580">
        <f>'Units&amp;Income'!BC94</f>
        <v>0</v>
      </c>
      <c r="C23" s="973">
        <f>B23-SUM(D23:AZ23)</f>
        <v>0</v>
      </c>
      <c r="D23" s="481">
        <f>IF(A80=0,0,('Units&amp;Income'!BC94/A80)*D17)</f>
        <v>0</v>
      </c>
      <c r="E23" s="481">
        <f>IF(A80=0,0,('Units&amp;Income'!BC94/A80)*E17)</f>
        <v>0</v>
      </c>
      <c r="F23" s="481">
        <f>IF(A80=0,0,('Units&amp;Income'!BC94/A80)*F17)</f>
        <v>0</v>
      </c>
      <c r="G23" s="481">
        <f>IF(A80=0,0,('Units&amp;Income'!BC94/A80)*G17)</f>
        <v>0</v>
      </c>
      <c r="H23" s="481">
        <f>IF(A80=0,0,('Units&amp;Income'!BC94/A80)*H17)</f>
        <v>0</v>
      </c>
      <c r="I23" s="481">
        <f>IF(A80=0,0,('Units&amp;Income'!BC94/A80)*I17)</f>
        <v>0</v>
      </c>
      <c r="J23" s="481">
        <f>IF(A80=0,0,('Units&amp;Income'!BC94/A80)*J17)</f>
        <v>0</v>
      </c>
      <c r="K23" s="481">
        <f>IF(A80=0,0,('Units&amp;Income'!BC94/A80)*K17)</f>
        <v>0</v>
      </c>
      <c r="L23" s="481">
        <f>IF(A80=0,0,('Units&amp;Income'!BC94/A80)*L17)</f>
        <v>0</v>
      </c>
      <c r="M23" s="481">
        <f>IF(A80=0,0,('Units&amp;Income'!BC94/A80)*M17)</f>
        <v>0</v>
      </c>
      <c r="N23" s="481">
        <f>IF(A80=0,0,('Units&amp;Income'!BC94/A80)*N17)</f>
        <v>0</v>
      </c>
      <c r="O23" s="481">
        <f>IF(A80=0,0,('Units&amp;Income'!BC94/A80)*O17)</f>
        <v>0</v>
      </c>
      <c r="P23" s="481">
        <f>IF(A80=0,0,('Units&amp;Income'!BC94/A80)*P17)</f>
        <v>0</v>
      </c>
      <c r="Q23" s="481">
        <f>IF(A80=0,0,('Units&amp;Income'!BC94/A80)*Q17)</f>
        <v>0</v>
      </c>
      <c r="R23" s="481">
        <f>IF(A80=0,0,('Units&amp;Income'!BC94/A80)*R17)</f>
        <v>0</v>
      </c>
      <c r="S23" s="481">
        <f>IF(A80=0,0,('Units&amp;Income'!BC94/A80)*S17)</f>
        <v>0</v>
      </c>
      <c r="T23" s="481">
        <f>IF(A80=0,0,('Units&amp;Income'!BC94/A80)*T17)</f>
        <v>0</v>
      </c>
      <c r="U23" s="481">
        <f>IF(A80=0,0,('Units&amp;Income'!BC94/A80)*U17)</f>
        <v>0</v>
      </c>
      <c r="V23" s="481">
        <f>IF(A80=0,0,('Units&amp;Income'!BC94/A80)*V17)</f>
        <v>0</v>
      </c>
      <c r="W23" s="481">
        <f>IF(A80=0,0,('Units&amp;Income'!BC94/A80)*W17)</f>
        <v>0</v>
      </c>
      <c r="X23" s="481">
        <f>IF(A80=0,0,('Units&amp;Income'!BC94/A80)*X17)</f>
        <v>0</v>
      </c>
      <c r="Y23" s="481">
        <f>IF(A80=0,0,('Units&amp;Income'!BC94/A80)*Y17)</f>
        <v>0</v>
      </c>
      <c r="Z23" s="481">
        <f>IF(A80=0,0,('Units&amp;Income'!BC94/A80)*Z17)</f>
        <v>0</v>
      </c>
      <c r="AA23" s="481">
        <f>IF(A80=0,0,('Units&amp;Income'!BC94/A80)*AA17)</f>
        <v>0</v>
      </c>
      <c r="AB23" s="481">
        <f>IF(A80=0,0,('Units&amp;Income'!BC94/A80)*AB17)</f>
        <v>0</v>
      </c>
      <c r="AC23" s="481">
        <f>IF(A80=0,0,('Units&amp;Income'!BC94/A80)*AC17)</f>
        <v>0</v>
      </c>
      <c r="AD23" s="481">
        <f>IF(A80=0,0,('Units&amp;Income'!BC94/A80)*AD17)</f>
        <v>0</v>
      </c>
      <c r="AE23" s="481">
        <f>IF(A80=0,0,('Units&amp;Income'!BC94/A80)*AE17)</f>
        <v>0</v>
      </c>
      <c r="AF23" s="481">
        <f>IF(A80=0,0,('Units&amp;Income'!BC94/A80)*AF17)</f>
        <v>0</v>
      </c>
      <c r="AG23" s="481">
        <f>IF(A80=0,0,('Units&amp;Income'!BC94/A80)*AG17)</f>
        <v>0</v>
      </c>
      <c r="AH23" s="481">
        <f>IF(A80=0,0,('Units&amp;Income'!BC94/A80)*AH17)</f>
        <v>0</v>
      </c>
      <c r="AI23" s="481">
        <f>IF(A80=0,0,('Units&amp;Income'!BC94/A80)*AI17)</f>
        <v>0</v>
      </c>
      <c r="AJ23" s="481">
        <f>IF(A80=0,0,('Units&amp;Income'!BC94/A80)*AJ17)</f>
        <v>0</v>
      </c>
      <c r="AK23" s="481">
        <f>IF(A80=0,0,('Units&amp;Income'!BC94/A80)*AK17)</f>
        <v>0</v>
      </c>
      <c r="AL23" s="481">
        <f>IF(A80=0,0,('Units&amp;Income'!BC94/A80)*AL17)</f>
        <v>0</v>
      </c>
      <c r="AM23" s="481">
        <f>IF(A80=0,0,('Units&amp;Income'!BC94/A80)*AM17)</f>
        <v>0</v>
      </c>
      <c r="AN23" s="481">
        <f>IF(A80=0,0,('Units&amp;Income'!BC94/A80)*AN17)</f>
        <v>0</v>
      </c>
      <c r="AO23" s="481">
        <f>IF(A80=0,0,('Units&amp;Income'!BC94/A80)*AO17)</f>
        <v>0</v>
      </c>
      <c r="AP23" s="481">
        <f>IF(A80=0,0,('Units&amp;Income'!BC94/A80)*AP17)</f>
        <v>0</v>
      </c>
      <c r="AQ23" s="481">
        <f>IF(A80=0,0,('Units&amp;Income'!BC94/A80)*AQ17)</f>
        <v>0</v>
      </c>
      <c r="AR23" s="481">
        <f>IF(A80=0,0,('Units&amp;Income'!BC94/A80)*AR17)</f>
        <v>0</v>
      </c>
      <c r="AS23" s="481">
        <f>IF(A80=0,0,('Units&amp;Income'!BC94/A80)*AS17)</f>
        <v>0</v>
      </c>
      <c r="AT23" s="481">
        <f>IF(A80=0,0,('Units&amp;Income'!BC94/A80)*AT17)</f>
        <v>0</v>
      </c>
      <c r="AU23" s="481">
        <f>IF(A80=0,0,('Units&amp;Income'!BC94/A80)*AU17)</f>
        <v>0</v>
      </c>
      <c r="AV23" s="481">
        <f>IF(A80=0,0,('Units&amp;Income'!BC94/A80)*AV17)</f>
        <v>0</v>
      </c>
      <c r="AW23" s="481">
        <f>IF(A80=0,0,('Units&amp;Income'!BC94/A80)*AW17)</f>
        <v>0</v>
      </c>
      <c r="AX23" s="481">
        <f>IF(A80=0,0,('Units&amp;Income'!BC94/A80)*AX17)</f>
        <v>0</v>
      </c>
      <c r="AY23" s="481">
        <f>IF(A80=0,0,('Units&amp;Income'!BC94/A80)*AY17)</f>
        <v>0</v>
      </c>
      <c r="AZ23" s="481">
        <f>IF(A80=0,0,('Units&amp;Income'!BC94/A80)*AZ17)</f>
        <v>0</v>
      </c>
    </row>
    <row r="24" spans="1:225" ht="12.2" customHeight="1">
      <c r="A24" s="1595" t="s">
        <v>893</v>
      </c>
      <c r="B24" s="1596"/>
      <c r="C24" s="483" t="str">
        <f>IF(C22=0,"",C22/(C22+C23))</f>
        <v/>
      </c>
      <c r="D24" s="483" t="str">
        <f>IF(D22=0,"",D22/(D22+D23))</f>
        <v/>
      </c>
      <c r="E24" s="483" t="str">
        <f>IF(E22=0,"",E22/(E22+E23))</f>
        <v/>
      </c>
      <c r="F24" s="483" t="str">
        <f t="shared" ref="F24:AZ24" si="8">IF(F22=0,"",F22/(F22+F23))</f>
        <v/>
      </c>
      <c r="G24" s="483" t="str">
        <f t="shared" si="8"/>
        <v/>
      </c>
      <c r="H24" s="483" t="str">
        <f t="shared" si="8"/>
        <v/>
      </c>
      <c r="I24" s="483" t="str">
        <f t="shared" si="8"/>
        <v/>
      </c>
      <c r="J24" s="483" t="str">
        <f t="shared" si="8"/>
        <v/>
      </c>
      <c r="K24" s="483" t="str">
        <f t="shared" si="8"/>
        <v/>
      </c>
      <c r="L24" s="483" t="str">
        <f t="shared" si="8"/>
        <v/>
      </c>
      <c r="M24" s="483" t="str">
        <f t="shared" si="8"/>
        <v/>
      </c>
      <c r="N24" s="483" t="str">
        <f t="shared" si="8"/>
        <v/>
      </c>
      <c r="O24" s="483" t="str">
        <f t="shared" si="8"/>
        <v/>
      </c>
      <c r="P24" s="483" t="str">
        <f t="shared" si="8"/>
        <v/>
      </c>
      <c r="Q24" s="483" t="str">
        <f t="shared" si="8"/>
        <v/>
      </c>
      <c r="R24" s="483" t="str">
        <f t="shared" si="8"/>
        <v/>
      </c>
      <c r="S24" s="483" t="str">
        <f t="shared" si="8"/>
        <v/>
      </c>
      <c r="T24" s="483" t="str">
        <f t="shared" si="8"/>
        <v/>
      </c>
      <c r="U24" s="483" t="str">
        <f t="shared" si="8"/>
        <v/>
      </c>
      <c r="V24" s="483" t="str">
        <f t="shared" si="8"/>
        <v/>
      </c>
      <c r="W24" s="483" t="str">
        <f t="shared" si="8"/>
        <v/>
      </c>
      <c r="X24" s="483" t="str">
        <f t="shared" si="8"/>
        <v/>
      </c>
      <c r="Y24" s="483" t="str">
        <f t="shared" si="8"/>
        <v/>
      </c>
      <c r="Z24" s="483" t="str">
        <f t="shared" si="8"/>
        <v/>
      </c>
      <c r="AA24" s="483" t="str">
        <f t="shared" si="8"/>
        <v/>
      </c>
      <c r="AB24" s="483" t="str">
        <f t="shared" si="8"/>
        <v/>
      </c>
      <c r="AC24" s="483" t="str">
        <f t="shared" si="8"/>
        <v/>
      </c>
      <c r="AD24" s="483" t="str">
        <f t="shared" si="8"/>
        <v/>
      </c>
      <c r="AE24" s="483" t="str">
        <f t="shared" si="8"/>
        <v/>
      </c>
      <c r="AF24" s="483" t="str">
        <f t="shared" si="8"/>
        <v/>
      </c>
      <c r="AG24" s="483" t="str">
        <f t="shared" si="8"/>
        <v/>
      </c>
      <c r="AH24" s="483" t="str">
        <f t="shared" si="8"/>
        <v/>
      </c>
      <c r="AI24" s="483" t="str">
        <f t="shared" si="8"/>
        <v/>
      </c>
      <c r="AJ24" s="483" t="str">
        <f t="shared" si="8"/>
        <v/>
      </c>
      <c r="AK24" s="483" t="str">
        <f t="shared" si="8"/>
        <v/>
      </c>
      <c r="AL24" s="483" t="str">
        <f t="shared" si="8"/>
        <v/>
      </c>
      <c r="AM24" s="483" t="str">
        <f t="shared" si="8"/>
        <v/>
      </c>
      <c r="AN24" s="483" t="str">
        <f t="shared" si="8"/>
        <v/>
      </c>
      <c r="AO24" s="483" t="str">
        <f t="shared" si="8"/>
        <v/>
      </c>
      <c r="AP24" s="483" t="str">
        <f t="shared" si="8"/>
        <v/>
      </c>
      <c r="AQ24" s="483" t="str">
        <f t="shared" si="8"/>
        <v/>
      </c>
      <c r="AR24" s="483" t="str">
        <f t="shared" si="8"/>
        <v/>
      </c>
      <c r="AS24" s="483" t="str">
        <f t="shared" si="8"/>
        <v/>
      </c>
      <c r="AT24" s="483" t="str">
        <f t="shared" si="8"/>
        <v/>
      </c>
      <c r="AU24" s="483" t="str">
        <f t="shared" si="8"/>
        <v/>
      </c>
      <c r="AV24" s="483" t="str">
        <f t="shared" si="8"/>
        <v/>
      </c>
      <c r="AW24" s="483" t="str">
        <f t="shared" si="8"/>
        <v/>
      </c>
      <c r="AX24" s="483" t="str">
        <f t="shared" si="8"/>
        <v/>
      </c>
      <c r="AY24" s="483" t="str">
        <f t="shared" si="8"/>
        <v/>
      </c>
      <c r="AZ24" s="483" t="str">
        <f t="shared" si="8"/>
        <v/>
      </c>
    </row>
    <row r="25" spans="1:225" ht="12.2" customHeight="1">
      <c r="A25" s="1585" t="s">
        <v>894</v>
      </c>
      <c r="B25" s="1580">
        <f>SUM(C25:AZ25)</f>
        <v>0</v>
      </c>
      <c r="C25" s="487" t="str">
        <f>IF(C24="","",'LIHTCs&amp;BLDGs'!C59)</f>
        <v/>
      </c>
      <c r="D25" s="487" t="str">
        <f>IF(D24="","",'LIHTCs&amp;BLDGs'!D59)</f>
        <v/>
      </c>
      <c r="E25" s="487" t="str">
        <f>IF(E24="","",'LIHTCs&amp;BLDGs'!E59)</f>
        <v/>
      </c>
      <c r="F25" s="487" t="str">
        <f>IF(F24="","",'LIHTCs&amp;BLDGs'!F59)</f>
        <v/>
      </c>
      <c r="G25" s="487" t="str">
        <f>IF(G24="","",'LIHTCs&amp;BLDGs'!G59)</f>
        <v/>
      </c>
      <c r="H25" s="487" t="str">
        <f>IF(H24="","",'LIHTCs&amp;BLDGs'!H59)</f>
        <v/>
      </c>
      <c r="I25" s="487" t="str">
        <f>IF(I24="","",'LIHTCs&amp;BLDGs'!I59)</f>
        <v/>
      </c>
      <c r="J25" s="487" t="str">
        <f>IF(J24="","",'LIHTCs&amp;BLDGs'!J59)</f>
        <v/>
      </c>
      <c r="K25" s="487" t="str">
        <f>IF(K24="","",'LIHTCs&amp;BLDGs'!K59)</f>
        <v/>
      </c>
      <c r="L25" s="487" t="str">
        <f>IF(L24="","",'LIHTCs&amp;BLDGs'!L59)</f>
        <v/>
      </c>
      <c r="M25" s="487" t="str">
        <f>IF(M24="","",'LIHTCs&amp;BLDGs'!M59)</f>
        <v/>
      </c>
      <c r="N25" s="487" t="str">
        <f>IF(N24="","",'LIHTCs&amp;BLDGs'!N59)</f>
        <v/>
      </c>
      <c r="O25" s="487" t="str">
        <f>IF(O24="","",'LIHTCs&amp;BLDGs'!O59)</f>
        <v/>
      </c>
      <c r="P25" s="487" t="str">
        <f>IF(P24="","",'LIHTCs&amp;BLDGs'!P59)</f>
        <v/>
      </c>
      <c r="Q25" s="487" t="str">
        <f>IF(Q24="","",'LIHTCs&amp;BLDGs'!Q59)</f>
        <v/>
      </c>
      <c r="R25" s="487" t="str">
        <f>IF(R24="","",'LIHTCs&amp;BLDGs'!R59)</f>
        <v/>
      </c>
      <c r="S25" s="487" t="str">
        <f>IF(S24="","",'LIHTCs&amp;BLDGs'!S59)</f>
        <v/>
      </c>
      <c r="T25" s="487" t="str">
        <f>IF(T24="","",'LIHTCs&amp;BLDGs'!T59)</f>
        <v/>
      </c>
      <c r="U25" s="487" t="str">
        <f>IF(U24="","",'LIHTCs&amp;BLDGs'!U59)</f>
        <v/>
      </c>
      <c r="V25" s="487" t="str">
        <f>IF(V24="","",'LIHTCs&amp;BLDGs'!V59)</f>
        <v/>
      </c>
      <c r="W25" s="487" t="str">
        <f>IF(W24="","",'LIHTCs&amp;BLDGs'!W59)</f>
        <v/>
      </c>
      <c r="X25" s="487" t="str">
        <f>IF(X24="","",'LIHTCs&amp;BLDGs'!X59)</f>
        <v/>
      </c>
      <c r="Y25" s="487" t="str">
        <f>IF(Y24="","",'LIHTCs&amp;BLDGs'!Y59)</f>
        <v/>
      </c>
      <c r="Z25" s="487" t="str">
        <f>IF(Z24="","",'LIHTCs&amp;BLDGs'!Z59)</f>
        <v/>
      </c>
      <c r="AA25" s="487" t="str">
        <f>IF(AA24="","",'LIHTCs&amp;BLDGs'!AA59)</f>
        <v/>
      </c>
      <c r="AB25" s="487" t="str">
        <f>IF(AB24="","",'LIHTCs&amp;BLDGs'!AB59)</f>
        <v/>
      </c>
      <c r="AC25" s="487" t="str">
        <f>IF(AC24="","",'LIHTCs&amp;BLDGs'!AC59)</f>
        <v/>
      </c>
      <c r="AD25" s="487" t="str">
        <f>IF(AD24="","",'LIHTCs&amp;BLDGs'!AD59)</f>
        <v/>
      </c>
      <c r="AE25" s="487" t="str">
        <f>IF(AE24="","",'LIHTCs&amp;BLDGs'!AE59)</f>
        <v/>
      </c>
      <c r="AF25" s="487" t="str">
        <f>IF(AF24="","",'LIHTCs&amp;BLDGs'!AF59)</f>
        <v/>
      </c>
      <c r="AG25" s="487" t="str">
        <f>IF(AG24="","",'LIHTCs&amp;BLDGs'!AG59)</f>
        <v/>
      </c>
      <c r="AH25" s="487" t="str">
        <f>IF(AH24="","",'LIHTCs&amp;BLDGs'!AH59)</f>
        <v/>
      </c>
      <c r="AI25" s="487" t="str">
        <f>IF(AI24="","",'LIHTCs&amp;BLDGs'!AI59)</f>
        <v/>
      </c>
      <c r="AJ25" s="487" t="str">
        <f>IF(AJ24="","",'LIHTCs&amp;BLDGs'!AJ59)</f>
        <v/>
      </c>
      <c r="AK25" s="487" t="str">
        <f>IF(AK24="","",'LIHTCs&amp;BLDGs'!AK59)</f>
        <v/>
      </c>
      <c r="AL25" s="487" t="str">
        <f>IF(AL24="","",'LIHTCs&amp;BLDGs'!AL59)</f>
        <v/>
      </c>
      <c r="AM25" s="487" t="str">
        <f>IF(AM24="","",'LIHTCs&amp;BLDGs'!AM59)</f>
        <v/>
      </c>
      <c r="AN25" s="487" t="str">
        <f>IF(AN24="","",'LIHTCs&amp;BLDGs'!AN59)</f>
        <v/>
      </c>
      <c r="AO25" s="487" t="str">
        <f>IF(AO24="","",'LIHTCs&amp;BLDGs'!AO59)</f>
        <v/>
      </c>
      <c r="AP25" s="487" t="str">
        <f>IF(AP24="","",'LIHTCs&amp;BLDGs'!AP59)</f>
        <v/>
      </c>
      <c r="AQ25" s="487" t="str">
        <f>IF(AQ24="","",'LIHTCs&amp;BLDGs'!AQ59)</f>
        <v/>
      </c>
      <c r="AR25" s="487" t="str">
        <f>IF(AR24="","",'LIHTCs&amp;BLDGs'!AR59)</f>
        <v/>
      </c>
      <c r="AS25" s="487" t="str">
        <f>IF(AS24="","",'LIHTCs&amp;BLDGs'!AS59)</f>
        <v/>
      </c>
      <c r="AT25" s="487" t="str">
        <f>IF(AT24="","",'LIHTCs&amp;BLDGs'!AT59)</f>
        <v/>
      </c>
      <c r="AU25" s="487" t="str">
        <f>IF(AU24="","",'LIHTCs&amp;BLDGs'!AU59)</f>
        <v/>
      </c>
      <c r="AV25" s="487" t="str">
        <f>IF(AV24="","",'LIHTCs&amp;BLDGs'!AV59)</f>
        <v/>
      </c>
      <c r="AW25" s="487" t="str">
        <f>IF(AW24="","",'LIHTCs&amp;BLDGs'!AW59)</f>
        <v/>
      </c>
      <c r="AX25" s="487" t="str">
        <f>IF(AX24="","",'LIHTCs&amp;BLDGs'!AX59)</f>
        <v/>
      </c>
      <c r="AY25" s="487" t="str">
        <f>IF(AY24="","",'LIHTCs&amp;BLDGs'!AY59)</f>
        <v/>
      </c>
      <c r="AZ25" s="488" t="str">
        <f>IF(AZ24="","",'LIHTCs&amp;BLDGs'!AZ59)</f>
        <v/>
      </c>
    </row>
    <row r="26" spans="1:225" ht="13.7" customHeight="1" thickBot="1">
      <c r="C26" s="1514"/>
      <c r="H26" s="1563"/>
      <c r="N26" s="1564"/>
    </row>
    <row r="27" spans="1:225" ht="13.5" hidden="1" thickBot="1">
      <c r="A27" s="372" t="s">
        <v>62</v>
      </c>
      <c r="B27" s="489" t="str">
        <f>Setup!D7</f>
        <v>Enter Project Name Here</v>
      </c>
      <c r="C27"/>
      <c r="D27" s="490"/>
      <c r="E27" s="490"/>
      <c r="F27" s="490"/>
      <c r="H27" s="301"/>
      <c r="I27" s="301"/>
      <c r="J27" s="281"/>
      <c r="K27" s="1564"/>
      <c r="L27" s="281"/>
      <c r="N27" s="301"/>
      <c r="O27" s="301"/>
      <c r="P27" s="301"/>
      <c r="Q27" s="301"/>
      <c r="R27" s="281"/>
      <c r="S27" s="301"/>
      <c r="T27" s="301"/>
      <c r="U27" s="301"/>
      <c r="V27" s="49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row>
    <row r="28" spans="1:225" ht="13.5" hidden="1" thickBot="1">
      <c r="A28" s="1598"/>
      <c r="B28" s="1598"/>
      <c r="C28"/>
      <c r="D28" s="490"/>
      <c r="E28" s="490"/>
      <c r="F28" s="490"/>
      <c r="G28" s="1599"/>
      <c r="H28" s="301"/>
      <c r="I28" s="301"/>
      <c r="J28" s="281"/>
      <c r="K28" s="1564"/>
      <c r="L28" s="281"/>
      <c r="N28" s="301"/>
      <c r="O28" s="301"/>
      <c r="P28" s="301"/>
      <c r="Q28" s="301"/>
      <c r="R28" s="281"/>
      <c r="S28" s="301"/>
      <c r="T28" s="301"/>
      <c r="U28" s="301"/>
      <c r="V28" s="49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row>
    <row r="29" spans="1:225" s="680" customFormat="1" ht="13.5" hidden="1" thickBot="1">
      <c r="A29" s="1600" t="s">
        <v>895</v>
      </c>
      <c r="B29" s="1601">
        <f>B58</f>
        <v>0</v>
      </c>
      <c r="C29" s="493"/>
      <c r="D29" s="494"/>
      <c r="E29" s="494"/>
      <c r="F29" s="494"/>
      <c r="G29" s="493"/>
      <c r="H29" s="495"/>
      <c r="I29" s="495"/>
      <c r="J29" s="496"/>
      <c r="K29" s="495"/>
      <c r="L29" s="496"/>
      <c r="M29" s="495"/>
      <c r="N29" s="495"/>
      <c r="O29" s="495"/>
      <c r="P29" s="495"/>
      <c r="Q29" s="495"/>
      <c r="R29" s="496"/>
      <c r="S29" s="495"/>
      <c r="T29" s="495"/>
      <c r="U29" s="495"/>
      <c r="V29" s="497"/>
      <c r="W29" s="496"/>
      <c r="X29" s="496"/>
      <c r="Y29" s="496"/>
      <c r="Z29" s="496"/>
      <c r="AA29" s="496"/>
      <c r="AB29" s="496"/>
      <c r="AC29" s="496"/>
      <c r="AD29" s="496"/>
      <c r="AE29" s="496"/>
      <c r="AF29" s="496"/>
      <c r="AG29" s="496"/>
      <c r="AH29" s="496"/>
      <c r="AI29" s="496"/>
      <c r="AJ29" s="496"/>
      <c r="AK29" s="496"/>
      <c r="AL29" s="496"/>
      <c r="AM29" s="496"/>
      <c r="AN29" s="496"/>
      <c r="AO29" s="496"/>
      <c r="AP29" s="496"/>
      <c r="AQ29" s="496"/>
      <c r="AR29" s="496"/>
      <c r="AS29" s="496"/>
      <c r="AT29" s="496"/>
      <c r="AU29" s="496"/>
      <c r="AV29" s="496"/>
      <c r="AW29" s="496"/>
      <c r="AX29" s="496"/>
      <c r="AY29" s="496"/>
      <c r="AZ29" s="496"/>
      <c r="BA29" s="498"/>
      <c r="BB29" s="498"/>
      <c r="BC29" s="498"/>
      <c r="BD29" s="498"/>
      <c r="BE29" s="498"/>
      <c r="BF29" s="498"/>
      <c r="BG29" s="498"/>
      <c r="BH29" s="498"/>
      <c r="BI29" s="498"/>
      <c r="BJ29" s="498"/>
      <c r="BK29" s="498"/>
      <c r="BL29" s="498"/>
      <c r="BM29" s="498"/>
      <c r="BN29" s="498"/>
      <c r="BO29" s="498"/>
      <c r="BP29" s="498"/>
      <c r="BQ29" s="498"/>
      <c r="BR29" s="498"/>
      <c r="BS29" s="498"/>
      <c r="BT29" s="498"/>
      <c r="BU29" s="498"/>
      <c r="BV29" s="498"/>
      <c r="BW29" s="498"/>
      <c r="BX29" s="498"/>
      <c r="BY29" s="498"/>
      <c r="BZ29" s="498"/>
      <c r="CA29" s="498"/>
      <c r="CB29" s="498"/>
      <c r="CC29" s="498"/>
      <c r="CD29" s="498"/>
      <c r="CE29" s="498"/>
      <c r="CF29" s="498"/>
      <c r="CG29" s="498"/>
      <c r="CH29" s="498"/>
      <c r="CI29" s="498"/>
      <c r="CJ29" s="498"/>
      <c r="CK29" s="498"/>
      <c r="CL29" s="498"/>
      <c r="CM29" s="498"/>
      <c r="CN29" s="498"/>
      <c r="CO29" s="498"/>
      <c r="CP29" s="498"/>
      <c r="CQ29" s="498"/>
      <c r="CR29" s="498"/>
      <c r="CS29" s="498"/>
      <c r="CT29" s="498"/>
      <c r="CU29" s="498"/>
      <c r="CV29" s="498"/>
      <c r="CW29" s="498"/>
      <c r="CX29" s="498"/>
      <c r="CY29" s="498"/>
      <c r="CZ29" s="498"/>
      <c r="DA29" s="498"/>
      <c r="DB29" s="498"/>
      <c r="DC29" s="498"/>
      <c r="DD29" s="498"/>
      <c r="DE29" s="498"/>
      <c r="DF29" s="498"/>
      <c r="DG29" s="498"/>
      <c r="DH29" s="498"/>
      <c r="DI29" s="498"/>
      <c r="DJ29" s="498"/>
      <c r="DK29" s="498"/>
      <c r="DL29" s="498"/>
      <c r="DM29" s="498"/>
      <c r="DN29" s="498"/>
      <c r="DO29" s="498"/>
      <c r="DP29" s="498"/>
      <c r="DQ29" s="498"/>
      <c r="DR29" s="498"/>
      <c r="DS29" s="498"/>
      <c r="DT29" s="498"/>
      <c r="DU29" s="498"/>
      <c r="DV29" s="498"/>
      <c r="DW29" s="498"/>
      <c r="DX29" s="498"/>
      <c r="DY29" s="498"/>
      <c r="DZ29" s="498"/>
      <c r="EA29" s="498"/>
      <c r="EB29" s="498"/>
      <c r="EC29" s="498"/>
      <c r="ED29" s="498"/>
      <c r="EE29" s="498"/>
      <c r="EF29" s="498"/>
      <c r="EG29" s="498"/>
      <c r="EH29" s="498"/>
      <c r="EI29" s="498"/>
      <c r="EJ29" s="498"/>
      <c r="EK29" s="498"/>
      <c r="EL29" s="498"/>
      <c r="EM29" s="498"/>
      <c r="EN29" s="498"/>
      <c r="EO29" s="498"/>
      <c r="EP29" s="498"/>
      <c r="EQ29" s="498"/>
      <c r="ER29" s="498"/>
      <c r="ES29" s="498"/>
      <c r="ET29" s="498"/>
      <c r="EU29" s="498"/>
      <c r="EV29" s="498"/>
      <c r="EW29" s="498"/>
      <c r="EX29" s="498"/>
      <c r="EY29" s="498"/>
      <c r="EZ29" s="498"/>
      <c r="FA29" s="498"/>
      <c r="FB29" s="498"/>
      <c r="FC29" s="498"/>
      <c r="FD29" s="498"/>
      <c r="FE29" s="498"/>
      <c r="FF29" s="498"/>
      <c r="FG29" s="498"/>
      <c r="FH29" s="498"/>
      <c r="FI29" s="498"/>
      <c r="FJ29" s="498"/>
      <c r="FK29" s="498"/>
      <c r="FL29" s="498"/>
      <c r="FM29" s="498"/>
      <c r="FN29" s="498"/>
      <c r="FO29" s="498"/>
      <c r="FP29" s="498"/>
      <c r="FQ29" s="498"/>
      <c r="FR29" s="498"/>
      <c r="FS29" s="498"/>
      <c r="FT29" s="498"/>
      <c r="FU29" s="498"/>
      <c r="FV29" s="498"/>
      <c r="FW29" s="498"/>
      <c r="FX29" s="498"/>
      <c r="FY29" s="498"/>
      <c r="FZ29" s="498"/>
      <c r="GA29" s="498"/>
      <c r="GB29" s="498"/>
      <c r="GC29" s="498"/>
      <c r="GD29" s="498"/>
      <c r="GE29" s="498"/>
      <c r="GF29" s="498"/>
      <c r="GG29" s="498"/>
      <c r="GH29" s="498"/>
      <c r="GI29" s="498"/>
      <c r="GJ29" s="498"/>
      <c r="GK29" s="498"/>
      <c r="GL29" s="498"/>
      <c r="GM29" s="498"/>
      <c r="GN29" s="498"/>
      <c r="GO29" s="498"/>
      <c r="GP29" s="498"/>
      <c r="GQ29" s="498"/>
      <c r="GR29" s="498"/>
      <c r="GS29" s="498"/>
      <c r="GT29" s="498"/>
      <c r="GU29" s="498"/>
      <c r="GV29" s="498"/>
      <c r="GW29" s="498"/>
      <c r="GX29" s="498"/>
      <c r="GY29" s="498"/>
      <c r="GZ29" s="498"/>
      <c r="HA29" s="498"/>
      <c r="HB29" s="498"/>
      <c r="HC29" s="498"/>
      <c r="HD29" s="498"/>
      <c r="HE29" s="498"/>
      <c r="HF29" s="498"/>
      <c r="HG29" s="498"/>
      <c r="HH29" s="498"/>
      <c r="HI29" s="498"/>
      <c r="HJ29" s="498"/>
      <c r="HK29" s="498"/>
      <c r="HL29" s="498"/>
      <c r="HM29" s="498"/>
      <c r="HN29" s="498"/>
      <c r="HO29" s="498"/>
      <c r="HP29" s="498"/>
      <c r="HQ29" s="498"/>
    </row>
    <row r="30" spans="1:225" s="680" customFormat="1" ht="13.5" hidden="1" thickBot="1">
      <c r="A30" s="1602" t="s">
        <v>896</v>
      </c>
      <c r="B30" s="1603">
        <f>B59</f>
        <v>0</v>
      </c>
      <c r="C30" s="493"/>
      <c r="D30" s="494"/>
      <c r="E30" s="494"/>
      <c r="F30" s="494"/>
      <c r="G30" s="493"/>
      <c r="H30" s="495"/>
      <c r="I30" s="495"/>
      <c r="J30" s="496"/>
      <c r="K30" s="495"/>
      <c r="L30" s="496"/>
      <c r="M30" s="495"/>
      <c r="N30" s="495"/>
      <c r="O30" s="495"/>
      <c r="P30" s="495"/>
      <c r="Q30" s="495"/>
      <c r="R30" s="496"/>
      <c r="S30" s="495"/>
      <c r="T30" s="495"/>
      <c r="U30" s="495"/>
      <c r="V30" s="497"/>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8"/>
      <c r="BB30" s="498"/>
      <c r="BC30" s="498"/>
      <c r="BD30" s="498"/>
      <c r="BE30" s="498"/>
      <c r="BF30" s="498"/>
      <c r="BG30" s="498"/>
      <c r="BH30" s="498"/>
      <c r="BI30" s="498"/>
      <c r="BJ30" s="498"/>
      <c r="BK30" s="498"/>
      <c r="BL30" s="498"/>
      <c r="BM30" s="498"/>
      <c r="BN30" s="498"/>
      <c r="BO30" s="498"/>
      <c r="BP30" s="498"/>
      <c r="BQ30" s="498"/>
      <c r="BR30" s="498"/>
      <c r="BS30" s="498"/>
      <c r="BT30" s="498"/>
      <c r="BU30" s="498"/>
      <c r="BV30" s="498"/>
      <c r="BW30" s="498"/>
      <c r="BX30" s="498"/>
      <c r="BY30" s="498"/>
      <c r="BZ30" s="498"/>
      <c r="CA30" s="498"/>
      <c r="CB30" s="498"/>
      <c r="CC30" s="498"/>
      <c r="CD30" s="498"/>
      <c r="CE30" s="498"/>
      <c r="CF30" s="498"/>
      <c r="CG30" s="498"/>
      <c r="CH30" s="498"/>
      <c r="CI30" s="498"/>
      <c r="CJ30" s="498"/>
      <c r="CK30" s="498"/>
      <c r="CL30" s="498"/>
      <c r="CM30" s="498"/>
      <c r="CN30" s="498"/>
      <c r="CO30" s="498"/>
      <c r="CP30" s="498"/>
      <c r="CQ30" s="498"/>
      <c r="CR30" s="498"/>
      <c r="CS30" s="498"/>
      <c r="CT30" s="498"/>
      <c r="CU30" s="498"/>
      <c r="CV30" s="498"/>
      <c r="CW30" s="498"/>
      <c r="CX30" s="498"/>
      <c r="CY30" s="498"/>
      <c r="CZ30" s="498"/>
      <c r="DA30" s="498"/>
      <c r="DB30" s="498"/>
      <c r="DC30" s="498"/>
      <c r="DD30" s="498"/>
      <c r="DE30" s="498"/>
      <c r="DF30" s="498"/>
      <c r="DG30" s="498"/>
      <c r="DH30" s="498"/>
      <c r="DI30" s="498"/>
      <c r="DJ30" s="498"/>
      <c r="DK30" s="498"/>
      <c r="DL30" s="498"/>
      <c r="DM30" s="498"/>
      <c r="DN30" s="498"/>
      <c r="DO30" s="498"/>
      <c r="DP30" s="498"/>
      <c r="DQ30" s="498"/>
      <c r="DR30" s="498"/>
      <c r="DS30" s="498"/>
      <c r="DT30" s="498"/>
      <c r="DU30" s="498"/>
      <c r="DV30" s="498"/>
      <c r="DW30" s="498"/>
      <c r="DX30" s="498"/>
      <c r="DY30" s="498"/>
      <c r="DZ30" s="498"/>
      <c r="EA30" s="498"/>
      <c r="EB30" s="498"/>
      <c r="EC30" s="498"/>
      <c r="ED30" s="498"/>
      <c r="EE30" s="498"/>
      <c r="EF30" s="498"/>
      <c r="EG30" s="498"/>
      <c r="EH30" s="498"/>
      <c r="EI30" s="498"/>
      <c r="EJ30" s="498"/>
      <c r="EK30" s="498"/>
      <c r="EL30" s="498"/>
      <c r="EM30" s="498"/>
      <c r="EN30" s="498"/>
      <c r="EO30" s="498"/>
      <c r="EP30" s="498"/>
      <c r="EQ30" s="498"/>
      <c r="ER30" s="498"/>
      <c r="ES30" s="498"/>
      <c r="ET30" s="498"/>
      <c r="EU30" s="498"/>
      <c r="EV30" s="498"/>
      <c r="EW30" s="498"/>
      <c r="EX30" s="498"/>
      <c r="EY30" s="498"/>
      <c r="EZ30" s="498"/>
      <c r="FA30" s="498"/>
      <c r="FB30" s="498"/>
      <c r="FC30" s="498"/>
      <c r="FD30" s="498"/>
      <c r="FE30" s="498"/>
      <c r="FF30" s="498"/>
      <c r="FG30" s="498"/>
      <c r="FH30" s="498"/>
      <c r="FI30" s="498"/>
      <c r="FJ30" s="498"/>
      <c r="FK30" s="498"/>
      <c r="FL30" s="498"/>
      <c r="FM30" s="498"/>
      <c r="FN30" s="498"/>
      <c r="FO30" s="498"/>
      <c r="FP30" s="498"/>
      <c r="FQ30" s="498"/>
      <c r="FR30" s="498"/>
      <c r="FS30" s="498"/>
      <c r="FT30" s="498"/>
      <c r="FU30" s="498"/>
      <c r="FV30" s="498"/>
      <c r="FW30" s="498"/>
      <c r="FX30" s="498"/>
      <c r="FY30" s="498"/>
      <c r="FZ30" s="498"/>
      <c r="GA30" s="498"/>
      <c r="GB30" s="498"/>
      <c r="GC30" s="498"/>
      <c r="GD30" s="498"/>
      <c r="GE30" s="498"/>
      <c r="GF30" s="498"/>
      <c r="GG30" s="498"/>
      <c r="GH30" s="498"/>
      <c r="GI30" s="498"/>
      <c r="GJ30" s="498"/>
      <c r="GK30" s="498"/>
      <c r="GL30" s="498"/>
      <c r="GM30" s="498"/>
      <c r="GN30" s="498"/>
      <c r="GO30" s="498"/>
      <c r="GP30" s="498"/>
      <c r="GQ30" s="498"/>
      <c r="GR30" s="498"/>
      <c r="GS30" s="498"/>
      <c r="GT30" s="498"/>
      <c r="GU30" s="498"/>
      <c r="GV30" s="498"/>
      <c r="GW30" s="498"/>
      <c r="GX30" s="498"/>
      <c r="GY30" s="498"/>
      <c r="GZ30" s="498"/>
      <c r="HA30" s="498"/>
      <c r="HB30" s="498"/>
      <c r="HC30" s="498"/>
      <c r="HD30" s="498"/>
      <c r="HE30" s="498"/>
      <c r="HF30" s="498"/>
      <c r="HG30" s="498"/>
      <c r="HH30" s="498"/>
      <c r="HI30" s="498"/>
      <c r="HJ30" s="498"/>
      <c r="HK30" s="498"/>
      <c r="HL30" s="498"/>
      <c r="HM30" s="498"/>
      <c r="HN30" s="498"/>
      <c r="HO30" s="498"/>
      <c r="HP30" s="498"/>
      <c r="HQ30" s="498"/>
    </row>
    <row r="31" spans="1:225" ht="13.5" hidden="1" thickBot="1">
      <c r="A31" s="464"/>
      <c r="B31" s="1598"/>
      <c r="C31"/>
      <c r="D31" s="490"/>
      <c r="E31" s="490"/>
      <c r="F31" s="490"/>
      <c r="H31" s="301"/>
      <c r="I31" s="301"/>
      <c r="J31" s="281"/>
      <c r="K31" s="1564"/>
      <c r="L31" s="281"/>
      <c r="N31" s="301"/>
      <c r="O31" s="301"/>
      <c r="P31" s="499" t="str">
        <f>IF(A31="","",IF(O31&gt;0,(DevCosts!$L$133-DevCosts!$L$12)*0.2*'LIHTCs&amp;BLDGs'!#REF!,""))</f>
        <v/>
      </c>
      <c r="Q31" s="301"/>
      <c r="R31" s="281"/>
      <c r="S31" s="301"/>
      <c r="T31" s="301"/>
      <c r="U31" s="301"/>
      <c r="V31" s="49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row>
    <row r="32" spans="1:225" s="681" customFormat="1">
      <c r="A32" s="1604"/>
      <c r="B32" s="1605" t="s">
        <v>897</v>
      </c>
      <c r="C32" s="1606" t="str">
        <f>'LIHTCs&amp;BLDGs'!C6</f>
        <v>Building #1</v>
      </c>
      <c r="D32" s="1607" t="str">
        <f>'LIHTCs&amp;BLDGs'!D6</f>
        <v/>
      </c>
      <c r="E32" s="1607" t="str">
        <f>'LIHTCs&amp;BLDGs'!E6</f>
        <v/>
      </c>
      <c r="F32" s="1607" t="str">
        <f>'LIHTCs&amp;BLDGs'!F6</f>
        <v/>
      </c>
      <c r="G32" s="1607" t="str">
        <f>'LIHTCs&amp;BLDGs'!G6</f>
        <v/>
      </c>
      <c r="H32" s="1607" t="str">
        <f>'LIHTCs&amp;BLDGs'!H6</f>
        <v/>
      </c>
      <c r="I32" s="1607" t="str">
        <f>'LIHTCs&amp;BLDGs'!I6</f>
        <v/>
      </c>
      <c r="J32" s="1607" t="str">
        <f>'LIHTCs&amp;BLDGs'!J6</f>
        <v/>
      </c>
      <c r="K32" s="1607" t="str">
        <f>'LIHTCs&amp;BLDGs'!K6</f>
        <v/>
      </c>
      <c r="L32" s="1607" t="str">
        <f>'LIHTCs&amp;BLDGs'!L6</f>
        <v/>
      </c>
      <c r="M32" s="1607" t="str">
        <f>'LIHTCs&amp;BLDGs'!M6</f>
        <v/>
      </c>
      <c r="N32" s="1607" t="str">
        <f>'LIHTCs&amp;BLDGs'!N6</f>
        <v/>
      </c>
      <c r="O32" s="1607" t="str">
        <f>'LIHTCs&amp;BLDGs'!O6</f>
        <v/>
      </c>
      <c r="P32" s="1607" t="str">
        <f>'LIHTCs&amp;BLDGs'!P6</f>
        <v/>
      </c>
      <c r="Q32" s="1607" t="str">
        <f>'LIHTCs&amp;BLDGs'!Q6</f>
        <v/>
      </c>
      <c r="R32" s="1607" t="str">
        <f>'LIHTCs&amp;BLDGs'!R6</f>
        <v/>
      </c>
      <c r="S32" s="1607" t="str">
        <f>'LIHTCs&amp;BLDGs'!S6</f>
        <v/>
      </c>
      <c r="T32" s="1607" t="str">
        <f>'LIHTCs&amp;BLDGs'!T6</f>
        <v/>
      </c>
      <c r="U32" s="1607" t="str">
        <f>'LIHTCs&amp;BLDGs'!U6</f>
        <v/>
      </c>
      <c r="V32" s="1607" t="str">
        <f>'LIHTCs&amp;BLDGs'!V6</f>
        <v/>
      </c>
      <c r="W32" s="1607" t="str">
        <f>'LIHTCs&amp;BLDGs'!W6</f>
        <v/>
      </c>
      <c r="X32" s="1607" t="str">
        <f>'LIHTCs&amp;BLDGs'!X6</f>
        <v/>
      </c>
      <c r="Y32" s="1607" t="str">
        <f>'LIHTCs&amp;BLDGs'!Y6</f>
        <v/>
      </c>
      <c r="Z32" s="1607" t="str">
        <f>'LIHTCs&amp;BLDGs'!Z6</f>
        <v/>
      </c>
      <c r="AA32" s="1607" t="str">
        <f>'LIHTCs&amp;BLDGs'!AA6</f>
        <v/>
      </c>
      <c r="AB32" s="1607" t="str">
        <f>'LIHTCs&amp;BLDGs'!AB6</f>
        <v/>
      </c>
      <c r="AC32" s="1607" t="str">
        <f>'LIHTCs&amp;BLDGs'!AC6</f>
        <v/>
      </c>
      <c r="AD32" s="1607" t="str">
        <f>'LIHTCs&amp;BLDGs'!AD6</f>
        <v/>
      </c>
      <c r="AE32" s="1607" t="str">
        <f>'LIHTCs&amp;BLDGs'!AE6</f>
        <v/>
      </c>
      <c r="AF32" s="1607" t="str">
        <f>'LIHTCs&amp;BLDGs'!AF6</f>
        <v/>
      </c>
      <c r="AG32" s="1607" t="str">
        <f>'LIHTCs&amp;BLDGs'!AG6</f>
        <v/>
      </c>
      <c r="AH32" s="1607" t="str">
        <f>'LIHTCs&amp;BLDGs'!AH6</f>
        <v/>
      </c>
      <c r="AI32" s="1607" t="str">
        <f>'LIHTCs&amp;BLDGs'!AI6</f>
        <v/>
      </c>
      <c r="AJ32" s="1607" t="str">
        <f>'LIHTCs&amp;BLDGs'!AJ6</f>
        <v/>
      </c>
      <c r="AK32" s="1607" t="str">
        <f>'LIHTCs&amp;BLDGs'!AK6</f>
        <v/>
      </c>
      <c r="AL32" s="1607" t="str">
        <f>'LIHTCs&amp;BLDGs'!AL6</f>
        <v/>
      </c>
      <c r="AM32" s="1607" t="str">
        <f>'LIHTCs&amp;BLDGs'!AM6</f>
        <v/>
      </c>
      <c r="AN32" s="1607" t="str">
        <f>'LIHTCs&amp;BLDGs'!AN6</f>
        <v/>
      </c>
      <c r="AO32" s="1607" t="str">
        <f>'LIHTCs&amp;BLDGs'!AO6</f>
        <v/>
      </c>
      <c r="AP32" s="1607" t="str">
        <f>'LIHTCs&amp;BLDGs'!AP6</f>
        <v/>
      </c>
      <c r="AQ32" s="1607" t="str">
        <f>'LIHTCs&amp;BLDGs'!AQ6</f>
        <v/>
      </c>
      <c r="AR32" s="1607" t="str">
        <f>'LIHTCs&amp;BLDGs'!AR6</f>
        <v/>
      </c>
      <c r="AS32" s="1607" t="str">
        <f>'LIHTCs&amp;BLDGs'!AS6</f>
        <v/>
      </c>
      <c r="AT32" s="1607" t="str">
        <f>'LIHTCs&amp;BLDGs'!AT6</f>
        <v/>
      </c>
      <c r="AU32" s="1607" t="str">
        <f>'LIHTCs&amp;BLDGs'!AU6</f>
        <v/>
      </c>
      <c r="AV32" s="1607" t="str">
        <f>'LIHTCs&amp;BLDGs'!AV6</f>
        <v/>
      </c>
      <c r="AW32" s="1607" t="str">
        <f>'LIHTCs&amp;BLDGs'!AW6</f>
        <v/>
      </c>
      <c r="AX32" s="1607" t="str">
        <f>'LIHTCs&amp;BLDGs'!AX6</f>
        <v/>
      </c>
      <c r="AY32" s="1607" t="str">
        <f>'LIHTCs&amp;BLDGs'!AY6</f>
        <v/>
      </c>
      <c r="AZ32" s="1607" t="str">
        <f>'LIHTCs&amp;BLDGs'!AZ6</f>
        <v/>
      </c>
      <c r="BA32" s="1608" t="s">
        <v>180</v>
      </c>
      <c r="BB32" s="1608"/>
      <c r="BC32" s="1608"/>
      <c r="BD32" s="1608"/>
      <c r="BE32" s="1608"/>
      <c r="BF32" s="1608"/>
      <c r="BG32" s="1608"/>
      <c r="BH32" s="1608"/>
      <c r="BI32" s="1608"/>
      <c r="BJ32" s="1608"/>
      <c r="BK32" s="1608"/>
      <c r="BL32" s="1608"/>
      <c r="BM32" s="1608"/>
      <c r="BN32" s="1608"/>
      <c r="BO32" s="1608"/>
      <c r="BP32" s="1608"/>
      <c r="BQ32" s="1608"/>
      <c r="BR32" s="1608"/>
      <c r="BS32" s="1608"/>
      <c r="BT32" s="1608"/>
      <c r="BU32" s="1608"/>
      <c r="BV32" s="1608"/>
      <c r="BW32" s="1608"/>
      <c r="BX32" s="1608"/>
      <c r="BY32" s="1608"/>
      <c r="BZ32" s="1608"/>
      <c r="CA32" s="1608"/>
      <c r="CB32" s="1608"/>
      <c r="CC32" s="1608"/>
      <c r="CD32" s="1608"/>
      <c r="CE32" s="1608"/>
      <c r="CF32" s="1608"/>
      <c r="CG32" s="1608"/>
      <c r="CH32" s="1608"/>
      <c r="CI32" s="1608"/>
      <c r="CJ32" s="1608"/>
      <c r="CK32" s="1608"/>
      <c r="CL32" s="1608"/>
      <c r="CM32" s="1608"/>
      <c r="CN32" s="1608"/>
      <c r="CO32" s="1608"/>
      <c r="CP32" s="1608"/>
      <c r="CQ32" s="1608"/>
      <c r="CR32" s="1608"/>
      <c r="CS32" s="1608"/>
      <c r="CT32" s="1608"/>
      <c r="CU32" s="1608"/>
      <c r="CV32" s="1608"/>
      <c r="CW32" s="1608"/>
      <c r="CX32" s="1608"/>
      <c r="CY32" s="1608"/>
      <c r="CZ32" s="1608"/>
      <c r="DA32" s="1608"/>
      <c r="DB32" s="1608"/>
      <c r="DC32" s="1608"/>
      <c r="DD32" s="1608"/>
      <c r="DE32" s="1608"/>
      <c r="DF32" s="1608"/>
      <c r="DG32" s="1608"/>
      <c r="DH32" s="1608"/>
      <c r="DI32" s="1608"/>
      <c r="DJ32" s="1608"/>
      <c r="DK32" s="1608"/>
      <c r="DL32" s="1608"/>
      <c r="DM32" s="1608"/>
      <c r="DN32" s="1608"/>
      <c r="DO32" s="1608"/>
      <c r="DP32" s="1608"/>
      <c r="DQ32" s="1608"/>
      <c r="DR32" s="1608"/>
      <c r="DS32" s="1608"/>
      <c r="DT32" s="1608"/>
      <c r="DU32" s="1608"/>
      <c r="DV32" s="1608"/>
      <c r="DW32" s="1608"/>
      <c r="DX32" s="1608"/>
      <c r="DY32" s="1608"/>
      <c r="DZ32" s="1608"/>
      <c r="EA32" s="1608"/>
      <c r="EB32" s="1608"/>
      <c r="EC32" s="1608"/>
      <c r="ED32" s="1608"/>
      <c r="EE32" s="1608"/>
      <c r="EF32" s="1608"/>
      <c r="EG32" s="1608"/>
      <c r="EH32" s="1608"/>
      <c r="EI32" s="1608"/>
      <c r="EJ32" s="1608"/>
      <c r="EK32" s="1608"/>
      <c r="EL32" s="1608"/>
      <c r="EM32" s="1608"/>
      <c r="EN32" s="1608"/>
      <c r="EO32" s="1608"/>
      <c r="EP32" s="1608"/>
      <c r="EQ32" s="1608"/>
      <c r="ER32" s="1608"/>
      <c r="ES32" s="1608"/>
      <c r="ET32" s="1608"/>
      <c r="EU32" s="1608"/>
      <c r="EV32" s="1608"/>
      <c r="EW32" s="1608"/>
      <c r="EX32" s="1608"/>
      <c r="EY32" s="1608"/>
      <c r="EZ32" s="1608"/>
      <c r="FA32" s="1608"/>
      <c r="FB32" s="1608"/>
      <c r="FC32" s="1608"/>
      <c r="FD32" s="1608"/>
      <c r="FE32" s="1608"/>
      <c r="FF32" s="1608"/>
      <c r="FG32" s="1608"/>
      <c r="FH32" s="1608"/>
      <c r="FI32" s="1608"/>
      <c r="FJ32" s="1608"/>
      <c r="FK32" s="1608"/>
      <c r="FL32" s="1608"/>
      <c r="FM32" s="1608"/>
      <c r="FN32" s="1608"/>
      <c r="FO32" s="1608"/>
      <c r="FP32" s="1608"/>
      <c r="FQ32" s="1608"/>
      <c r="FR32" s="1608"/>
      <c r="FS32" s="1608"/>
      <c r="FT32" s="1608"/>
      <c r="FU32" s="1608"/>
      <c r="FV32" s="1608"/>
      <c r="FW32" s="1608"/>
      <c r="FX32" s="1608"/>
      <c r="FY32" s="1608"/>
      <c r="FZ32" s="1608"/>
      <c r="GA32" s="1608"/>
      <c r="GB32" s="1608"/>
      <c r="GC32" s="1608"/>
      <c r="GD32" s="1608"/>
      <c r="GE32" s="1608"/>
      <c r="GF32" s="1608"/>
      <c r="GG32" s="1608"/>
      <c r="GH32" s="1608"/>
      <c r="GI32" s="1608"/>
      <c r="GJ32" s="1608"/>
      <c r="GK32" s="1608"/>
      <c r="GL32" s="1608"/>
      <c r="GM32" s="1608"/>
      <c r="GN32" s="1608"/>
      <c r="GO32" s="1608"/>
      <c r="GP32" s="1608"/>
      <c r="GQ32" s="1608"/>
      <c r="GR32" s="1608"/>
      <c r="GS32" s="1608"/>
      <c r="GT32" s="1608"/>
      <c r="GU32" s="1608"/>
      <c r="GV32" s="1608"/>
      <c r="GW32" s="1608"/>
      <c r="GX32" s="1608"/>
      <c r="GY32" s="1608"/>
      <c r="GZ32" s="1608"/>
      <c r="HA32" s="1608"/>
      <c r="HB32" s="1608"/>
      <c r="HC32" s="1608"/>
      <c r="HD32" s="1608"/>
      <c r="HE32" s="1608"/>
      <c r="HF32" s="1608"/>
      <c r="HG32" s="1608"/>
      <c r="HH32" s="1608"/>
      <c r="HI32" s="1608"/>
      <c r="HJ32" s="1608"/>
      <c r="HK32" s="1608"/>
      <c r="HL32" s="1608"/>
      <c r="HM32" s="1608"/>
      <c r="HN32" s="1608"/>
      <c r="HO32" s="1608"/>
      <c r="HP32" s="1608"/>
      <c r="HQ32" s="1608"/>
    </row>
    <row r="33" spans="1:225" s="466" customFormat="1" ht="25.5" hidden="1">
      <c r="A33" s="500" t="s">
        <v>898</v>
      </c>
      <c r="B33" s="1609"/>
      <c r="C33" s="501">
        <f>'LIHTCs&amp;BLDGs'!C15</f>
        <v>1</v>
      </c>
      <c r="D33" s="502">
        <f>'LIHTCs&amp;BLDGs'!D15</f>
        <v>0</v>
      </c>
      <c r="E33" s="502">
        <f>'LIHTCs&amp;BLDGs'!E15</f>
        <v>0</v>
      </c>
      <c r="F33" s="502">
        <f>'LIHTCs&amp;BLDGs'!F15</f>
        <v>0</v>
      </c>
      <c r="G33" s="502">
        <f>'LIHTCs&amp;BLDGs'!G15</f>
        <v>0</v>
      </c>
      <c r="H33" s="502">
        <f>'LIHTCs&amp;BLDGs'!H15</f>
        <v>0</v>
      </c>
      <c r="I33" s="502">
        <f>'LIHTCs&amp;BLDGs'!I15</f>
        <v>0</v>
      </c>
      <c r="J33" s="502">
        <f>'LIHTCs&amp;BLDGs'!J15</f>
        <v>0</v>
      </c>
      <c r="K33" s="502">
        <f>'LIHTCs&amp;BLDGs'!K15</f>
        <v>0</v>
      </c>
      <c r="L33" s="502">
        <f>'LIHTCs&amp;BLDGs'!L15</f>
        <v>0</v>
      </c>
      <c r="M33" s="502">
        <f>'LIHTCs&amp;BLDGs'!M15</f>
        <v>0</v>
      </c>
      <c r="N33" s="502">
        <f>'LIHTCs&amp;BLDGs'!N15</f>
        <v>0</v>
      </c>
      <c r="O33" s="502">
        <f>'LIHTCs&amp;BLDGs'!O15</f>
        <v>0</v>
      </c>
      <c r="P33" s="502">
        <f>'LIHTCs&amp;BLDGs'!P15</f>
        <v>0</v>
      </c>
      <c r="Q33" s="502">
        <f>'LIHTCs&amp;BLDGs'!Q15</f>
        <v>0</v>
      </c>
      <c r="R33" s="502">
        <f>'LIHTCs&amp;BLDGs'!R15</f>
        <v>0</v>
      </c>
      <c r="S33" s="502">
        <f>'LIHTCs&amp;BLDGs'!S15</f>
        <v>0</v>
      </c>
      <c r="T33" s="502">
        <f>'LIHTCs&amp;BLDGs'!T15</f>
        <v>0</v>
      </c>
      <c r="U33" s="502">
        <f>'LIHTCs&amp;BLDGs'!U15</f>
        <v>0</v>
      </c>
      <c r="V33" s="502">
        <f>'LIHTCs&amp;BLDGs'!V15</f>
        <v>0</v>
      </c>
      <c r="W33" s="502">
        <f>'LIHTCs&amp;BLDGs'!W15</f>
        <v>0</v>
      </c>
      <c r="X33" s="502">
        <f>'LIHTCs&amp;BLDGs'!X15</f>
        <v>0</v>
      </c>
      <c r="Y33" s="502">
        <f>'LIHTCs&amp;BLDGs'!Y15</f>
        <v>0</v>
      </c>
      <c r="Z33" s="502">
        <f>'LIHTCs&amp;BLDGs'!Z15</f>
        <v>0</v>
      </c>
      <c r="AA33" s="502">
        <f>'LIHTCs&amp;BLDGs'!AA15</f>
        <v>0</v>
      </c>
      <c r="AB33" s="502">
        <f>'LIHTCs&amp;BLDGs'!AB15</f>
        <v>0</v>
      </c>
      <c r="AC33" s="502">
        <f>'LIHTCs&amp;BLDGs'!AC15</f>
        <v>0</v>
      </c>
      <c r="AD33" s="502">
        <f>'LIHTCs&amp;BLDGs'!AD15</f>
        <v>0</v>
      </c>
      <c r="AE33" s="502">
        <f>'LIHTCs&amp;BLDGs'!AE15</f>
        <v>0</v>
      </c>
      <c r="AF33" s="502">
        <f>'LIHTCs&amp;BLDGs'!AF15</f>
        <v>0</v>
      </c>
      <c r="AG33" s="502">
        <f>'LIHTCs&amp;BLDGs'!AG15</f>
        <v>0</v>
      </c>
      <c r="AH33" s="502">
        <f>'LIHTCs&amp;BLDGs'!AH15</f>
        <v>0</v>
      </c>
      <c r="AI33" s="502">
        <f>'LIHTCs&amp;BLDGs'!AI15</f>
        <v>0</v>
      </c>
      <c r="AJ33" s="502">
        <f>'LIHTCs&amp;BLDGs'!AJ15</f>
        <v>0</v>
      </c>
      <c r="AK33" s="502">
        <f>'LIHTCs&amp;BLDGs'!AK15</f>
        <v>0</v>
      </c>
      <c r="AL33" s="502">
        <f>'LIHTCs&amp;BLDGs'!AL15</f>
        <v>0</v>
      </c>
      <c r="AM33" s="502">
        <f>'LIHTCs&amp;BLDGs'!AM15</f>
        <v>0</v>
      </c>
      <c r="AN33" s="502">
        <f>'LIHTCs&amp;BLDGs'!AN15</f>
        <v>0</v>
      </c>
      <c r="AO33" s="502">
        <f>'LIHTCs&amp;BLDGs'!AO15</f>
        <v>0</v>
      </c>
      <c r="AP33" s="502">
        <f>'LIHTCs&amp;BLDGs'!AP15</f>
        <v>0</v>
      </c>
      <c r="AQ33" s="502">
        <f>'LIHTCs&amp;BLDGs'!AQ15</f>
        <v>0</v>
      </c>
      <c r="AR33" s="502">
        <f>'LIHTCs&amp;BLDGs'!AR15</f>
        <v>0</v>
      </c>
      <c r="AS33" s="502">
        <f>'LIHTCs&amp;BLDGs'!AS15</f>
        <v>0</v>
      </c>
      <c r="AT33" s="502">
        <f>'LIHTCs&amp;BLDGs'!AT15</f>
        <v>0</v>
      </c>
      <c r="AU33" s="502">
        <f>'LIHTCs&amp;BLDGs'!AU15</f>
        <v>0</v>
      </c>
      <c r="AV33" s="502">
        <f>'LIHTCs&amp;BLDGs'!AV15</f>
        <v>0</v>
      </c>
      <c r="AW33" s="502">
        <f>'LIHTCs&amp;BLDGs'!AW15</f>
        <v>0</v>
      </c>
      <c r="AX33" s="502">
        <f>'LIHTCs&amp;BLDGs'!AX15</f>
        <v>0</v>
      </c>
      <c r="AY33" s="502">
        <f>'LIHTCs&amp;BLDGs'!AY15</f>
        <v>0</v>
      </c>
      <c r="AZ33" s="502">
        <f>'LIHTCs&amp;BLDGs'!AZ15</f>
        <v>0</v>
      </c>
      <c r="BA33" s="492"/>
      <c r="BB33" s="492"/>
      <c r="BC33" s="492"/>
      <c r="BD33" s="492"/>
      <c r="BE33" s="492"/>
      <c r="BF33" s="492"/>
      <c r="BG33" s="492"/>
      <c r="BH33" s="492"/>
      <c r="BI33" s="492"/>
      <c r="BJ33" s="492"/>
      <c r="BK33" s="492"/>
      <c r="BL33" s="492"/>
      <c r="BM33" s="492"/>
      <c r="BN33" s="492"/>
      <c r="BO33" s="492"/>
      <c r="BP33" s="492"/>
      <c r="BQ33" s="492"/>
      <c r="BR33" s="492"/>
      <c r="BS33" s="492"/>
      <c r="BT33" s="492"/>
      <c r="BU33" s="492"/>
      <c r="BV33" s="492"/>
      <c r="BW33" s="492"/>
      <c r="BX33" s="492"/>
      <c r="BY33" s="492"/>
      <c r="BZ33" s="492"/>
      <c r="CA33" s="492"/>
      <c r="CB33" s="492"/>
      <c r="CC33" s="492"/>
      <c r="CD33" s="492"/>
      <c r="CE33" s="492"/>
      <c r="CF33" s="492"/>
      <c r="CG33" s="492"/>
      <c r="CH33" s="492"/>
      <c r="CI33" s="492"/>
      <c r="CJ33" s="492"/>
      <c r="CK33" s="492"/>
      <c r="CL33" s="492"/>
      <c r="CM33" s="492"/>
      <c r="CN33" s="492"/>
      <c r="CO33" s="492"/>
      <c r="CP33" s="492"/>
      <c r="CQ33" s="492"/>
      <c r="CR33" s="492"/>
      <c r="CS33" s="492"/>
      <c r="CT33" s="492"/>
      <c r="CU33" s="492"/>
      <c r="CV33" s="492"/>
      <c r="CW33" s="492"/>
      <c r="CX33" s="492"/>
      <c r="CY33" s="492"/>
      <c r="CZ33" s="492"/>
      <c r="DA33" s="492"/>
      <c r="DB33" s="492"/>
      <c r="DC33" s="492"/>
      <c r="DD33" s="492"/>
      <c r="DE33" s="492"/>
      <c r="DF33" s="492"/>
      <c r="DG33" s="492"/>
      <c r="DH33" s="492"/>
      <c r="DI33" s="492"/>
      <c r="DJ33" s="492"/>
      <c r="DK33" s="492"/>
      <c r="DL33" s="492"/>
      <c r="DM33" s="492"/>
      <c r="DN33" s="492"/>
      <c r="DO33" s="492"/>
      <c r="DP33" s="492"/>
      <c r="DQ33" s="492"/>
      <c r="DR33" s="492"/>
      <c r="DS33" s="492"/>
      <c r="DT33" s="492"/>
      <c r="DU33" s="492"/>
      <c r="DV33" s="492"/>
      <c r="DW33" s="492"/>
      <c r="DX33" s="492"/>
      <c r="DY33" s="492"/>
      <c r="DZ33" s="492"/>
      <c r="EA33" s="492"/>
      <c r="EB33" s="492"/>
      <c r="EC33" s="492"/>
      <c r="ED33" s="492"/>
      <c r="EE33" s="492"/>
      <c r="EF33" s="492"/>
      <c r="EG33" s="492"/>
      <c r="EH33" s="492"/>
      <c r="EI33" s="492"/>
      <c r="EJ33" s="492"/>
      <c r="EK33" s="492"/>
      <c r="EL33" s="492"/>
      <c r="EM33" s="492"/>
      <c r="EN33" s="492"/>
      <c r="EO33" s="492"/>
      <c r="EP33" s="492"/>
      <c r="EQ33" s="492"/>
      <c r="ER33" s="492"/>
      <c r="ES33" s="492"/>
      <c r="ET33" s="492"/>
      <c r="EU33" s="492"/>
      <c r="EV33" s="492"/>
      <c r="EW33" s="492"/>
      <c r="EX33" s="492"/>
      <c r="EY33" s="492"/>
      <c r="EZ33" s="492"/>
      <c r="FA33" s="492"/>
      <c r="FB33" s="492"/>
      <c r="FC33" s="492"/>
      <c r="FD33" s="492"/>
      <c r="FE33" s="492"/>
      <c r="FF33" s="492"/>
      <c r="FG33" s="492"/>
      <c r="FH33" s="492"/>
      <c r="FI33" s="492"/>
      <c r="FJ33" s="492"/>
      <c r="FK33" s="492"/>
      <c r="FL33" s="492"/>
      <c r="FM33" s="492"/>
      <c r="FN33" s="492"/>
      <c r="FO33" s="492"/>
      <c r="FP33" s="492"/>
      <c r="FQ33" s="492"/>
      <c r="FR33" s="492"/>
      <c r="FS33" s="492"/>
      <c r="FT33" s="492"/>
      <c r="FU33" s="492"/>
      <c r="FV33" s="492"/>
      <c r="FW33" s="492"/>
      <c r="FX33" s="492"/>
      <c r="FY33" s="492"/>
      <c r="FZ33" s="492"/>
      <c r="GA33" s="492"/>
      <c r="GB33" s="492"/>
      <c r="GC33" s="492"/>
      <c r="GD33" s="492"/>
      <c r="GE33" s="492"/>
      <c r="GF33" s="492"/>
      <c r="GG33" s="492"/>
      <c r="GH33" s="492"/>
      <c r="GI33" s="492"/>
      <c r="GJ33" s="492"/>
      <c r="GK33" s="492"/>
      <c r="GL33" s="492"/>
      <c r="GM33" s="492"/>
      <c r="GN33" s="492"/>
      <c r="GO33" s="492"/>
      <c r="GP33" s="492"/>
      <c r="GQ33" s="492"/>
      <c r="GR33" s="492"/>
      <c r="GS33" s="492"/>
      <c r="GT33" s="492"/>
      <c r="GU33" s="492"/>
      <c r="GV33" s="492"/>
      <c r="GW33" s="492"/>
      <c r="GX33" s="492"/>
      <c r="GY33" s="492"/>
      <c r="GZ33" s="492"/>
      <c r="HA33" s="492"/>
      <c r="HB33" s="492"/>
      <c r="HC33" s="492"/>
      <c r="HD33" s="492"/>
      <c r="HE33" s="492"/>
      <c r="HF33" s="492"/>
      <c r="HG33" s="492"/>
      <c r="HH33" s="492"/>
      <c r="HI33" s="492"/>
      <c r="HJ33" s="492"/>
      <c r="HK33" s="492"/>
      <c r="HL33" s="492"/>
      <c r="HM33" s="492"/>
      <c r="HN33" s="492"/>
      <c r="HO33" s="492"/>
      <c r="HP33" s="492"/>
      <c r="HQ33" s="492"/>
    </row>
    <row r="34" spans="1:225">
      <c r="A34" s="503" t="s">
        <v>890</v>
      </c>
      <c r="B34" s="1610">
        <f>IF(B16+B17=0,0,B16/(B16+B17))</f>
        <v>0</v>
      </c>
      <c r="C34" s="501" t="str">
        <f>'LIHTCs&amp;BLDGs'!C21</f>
        <v/>
      </c>
      <c r="D34" s="501" t="str">
        <f>'LIHTCs&amp;BLDGs'!D21</f>
        <v/>
      </c>
      <c r="E34" s="501" t="str">
        <f>'LIHTCs&amp;BLDGs'!E21</f>
        <v/>
      </c>
      <c r="F34" s="501" t="str">
        <f>'LIHTCs&amp;BLDGs'!F21</f>
        <v/>
      </c>
      <c r="G34" s="501" t="str">
        <f>'LIHTCs&amp;BLDGs'!G21</f>
        <v/>
      </c>
      <c r="H34" s="501" t="str">
        <f>'LIHTCs&amp;BLDGs'!H21</f>
        <v/>
      </c>
      <c r="I34" s="501" t="str">
        <f>'LIHTCs&amp;BLDGs'!I21</f>
        <v/>
      </c>
      <c r="J34" s="501" t="str">
        <f>'LIHTCs&amp;BLDGs'!J21</f>
        <v/>
      </c>
      <c r="K34" s="501" t="str">
        <f>'LIHTCs&amp;BLDGs'!K21</f>
        <v/>
      </c>
      <c r="L34" s="501" t="str">
        <f>'LIHTCs&amp;BLDGs'!L21</f>
        <v/>
      </c>
      <c r="M34" s="501" t="str">
        <f>'LIHTCs&amp;BLDGs'!M21</f>
        <v/>
      </c>
      <c r="N34" s="501" t="str">
        <f>'LIHTCs&amp;BLDGs'!N21</f>
        <v/>
      </c>
      <c r="O34" s="501" t="str">
        <f>'LIHTCs&amp;BLDGs'!O21</f>
        <v/>
      </c>
      <c r="P34" s="501" t="str">
        <f>'LIHTCs&amp;BLDGs'!P21</f>
        <v/>
      </c>
      <c r="Q34" s="501" t="str">
        <f>'LIHTCs&amp;BLDGs'!Q21</f>
        <v/>
      </c>
      <c r="R34" s="501" t="str">
        <f>'LIHTCs&amp;BLDGs'!R21</f>
        <v/>
      </c>
      <c r="S34" s="501" t="str">
        <f>'LIHTCs&amp;BLDGs'!S21</f>
        <v/>
      </c>
      <c r="T34" s="501" t="str">
        <f>'LIHTCs&amp;BLDGs'!T21</f>
        <v/>
      </c>
      <c r="U34" s="501" t="str">
        <f>'LIHTCs&amp;BLDGs'!U21</f>
        <v/>
      </c>
      <c r="V34" s="501" t="str">
        <f>'LIHTCs&amp;BLDGs'!V21</f>
        <v/>
      </c>
      <c r="W34" s="501" t="str">
        <f>'LIHTCs&amp;BLDGs'!W21</f>
        <v/>
      </c>
      <c r="X34" s="501" t="str">
        <f>'LIHTCs&amp;BLDGs'!X21</f>
        <v/>
      </c>
      <c r="Y34" s="501" t="str">
        <f>'LIHTCs&amp;BLDGs'!Y21</f>
        <v/>
      </c>
      <c r="Z34" s="501" t="str">
        <f>'LIHTCs&amp;BLDGs'!Z21</f>
        <v/>
      </c>
      <c r="AA34" s="501" t="str">
        <f>'LIHTCs&amp;BLDGs'!AA21</f>
        <v/>
      </c>
      <c r="AB34" s="501" t="str">
        <f>'LIHTCs&amp;BLDGs'!AB21</f>
        <v/>
      </c>
      <c r="AC34" s="501" t="str">
        <f>'LIHTCs&amp;BLDGs'!AC21</f>
        <v/>
      </c>
      <c r="AD34" s="501" t="str">
        <f>'LIHTCs&amp;BLDGs'!AD21</f>
        <v/>
      </c>
      <c r="AE34" s="501" t="str">
        <f>'LIHTCs&amp;BLDGs'!AE21</f>
        <v/>
      </c>
      <c r="AF34" s="501" t="str">
        <f>'LIHTCs&amp;BLDGs'!AF21</f>
        <v/>
      </c>
      <c r="AG34" s="501" t="str">
        <f>'LIHTCs&amp;BLDGs'!AG21</f>
        <v/>
      </c>
      <c r="AH34" s="501" t="str">
        <f>'LIHTCs&amp;BLDGs'!AH21</f>
        <v/>
      </c>
      <c r="AI34" s="501" t="str">
        <f>'LIHTCs&amp;BLDGs'!AI21</f>
        <v/>
      </c>
      <c r="AJ34" s="501" t="str">
        <f>'LIHTCs&amp;BLDGs'!AJ21</f>
        <v/>
      </c>
      <c r="AK34" s="501" t="str">
        <f>'LIHTCs&amp;BLDGs'!AK21</f>
        <v/>
      </c>
      <c r="AL34" s="501" t="str">
        <f>'LIHTCs&amp;BLDGs'!AL21</f>
        <v/>
      </c>
      <c r="AM34" s="501" t="str">
        <f>'LIHTCs&amp;BLDGs'!AM21</f>
        <v/>
      </c>
      <c r="AN34" s="501" t="str">
        <f>'LIHTCs&amp;BLDGs'!AN21</f>
        <v/>
      </c>
      <c r="AO34" s="501" t="str">
        <f>'LIHTCs&amp;BLDGs'!AO21</f>
        <v/>
      </c>
      <c r="AP34" s="501" t="str">
        <f>'LIHTCs&amp;BLDGs'!AP21</f>
        <v/>
      </c>
      <c r="AQ34" s="501" t="str">
        <f>'LIHTCs&amp;BLDGs'!AQ21</f>
        <v/>
      </c>
      <c r="AR34" s="501" t="str">
        <f>'LIHTCs&amp;BLDGs'!AR21</f>
        <v/>
      </c>
      <c r="AS34" s="501" t="str">
        <f>'LIHTCs&amp;BLDGs'!AS21</f>
        <v/>
      </c>
      <c r="AT34" s="501" t="str">
        <f>'LIHTCs&amp;BLDGs'!AT21</f>
        <v/>
      </c>
      <c r="AU34" s="501" t="str">
        <f>'LIHTCs&amp;BLDGs'!AU21</f>
        <v/>
      </c>
      <c r="AV34" s="501" t="str">
        <f>'LIHTCs&amp;BLDGs'!AV21</f>
        <v/>
      </c>
      <c r="AW34" s="501" t="str">
        <f>'LIHTCs&amp;BLDGs'!AW21</f>
        <v/>
      </c>
      <c r="AX34" s="501" t="str">
        <f>'LIHTCs&amp;BLDGs'!AX21</f>
        <v/>
      </c>
      <c r="AY34" s="501" t="str">
        <f>'LIHTCs&amp;BLDGs'!AY21</f>
        <v/>
      </c>
      <c r="AZ34" s="501" t="str">
        <f>'LIHTCs&amp;BLDGs'!AZ21</f>
        <v/>
      </c>
    </row>
    <row r="35" spans="1:225">
      <c r="A35" s="503" t="s">
        <v>899</v>
      </c>
      <c r="B35" s="1610">
        <f>IF('Units&amp;Income'!F94&gt;0,'LIHTCs&amp;BLDGs'!B22/SUM('LIHTCs&amp;BLDGs'!B22:B23),0)</f>
        <v>0</v>
      </c>
      <c r="C35" s="501" t="str">
        <f>'LIHTCs&amp;BLDGs'!C24</f>
        <v/>
      </c>
      <c r="D35" s="502" t="str">
        <f>'LIHTCs&amp;BLDGs'!D24</f>
        <v/>
      </c>
      <c r="E35" s="502" t="str">
        <f>'LIHTCs&amp;BLDGs'!E24</f>
        <v/>
      </c>
      <c r="F35" s="502" t="str">
        <f>'LIHTCs&amp;BLDGs'!F24</f>
        <v/>
      </c>
      <c r="G35" s="502" t="str">
        <f>'LIHTCs&amp;BLDGs'!G24</f>
        <v/>
      </c>
      <c r="H35" s="502" t="str">
        <f>'LIHTCs&amp;BLDGs'!H24</f>
        <v/>
      </c>
      <c r="I35" s="502" t="str">
        <f>'LIHTCs&amp;BLDGs'!I24</f>
        <v/>
      </c>
      <c r="J35" s="502" t="str">
        <f>'LIHTCs&amp;BLDGs'!J24</f>
        <v/>
      </c>
      <c r="K35" s="502" t="str">
        <f>'LIHTCs&amp;BLDGs'!K24</f>
        <v/>
      </c>
      <c r="L35" s="502" t="str">
        <f>'LIHTCs&amp;BLDGs'!L24</f>
        <v/>
      </c>
      <c r="M35" s="502" t="str">
        <f>'LIHTCs&amp;BLDGs'!M24</f>
        <v/>
      </c>
      <c r="N35" s="502" t="str">
        <f>'LIHTCs&amp;BLDGs'!N24</f>
        <v/>
      </c>
      <c r="O35" s="502" t="str">
        <f>'LIHTCs&amp;BLDGs'!O24</f>
        <v/>
      </c>
      <c r="P35" s="502" t="str">
        <f>'LIHTCs&amp;BLDGs'!P24</f>
        <v/>
      </c>
      <c r="Q35" s="502" t="str">
        <f>'LIHTCs&amp;BLDGs'!Q24</f>
        <v/>
      </c>
      <c r="R35" s="502" t="str">
        <f>'LIHTCs&amp;BLDGs'!R24</f>
        <v/>
      </c>
      <c r="S35" s="502" t="str">
        <f>'LIHTCs&amp;BLDGs'!S24</f>
        <v/>
      </c>
      <c r="T35" s="502" t="str">
        <f>'LIHTCs&amp;BLDGs'!T24</f>
        <v/>
      </c>
      <c r="U35" s="502" t="str">
        <f>'LIHTCs&amp;BLDGs'!U24</f>
        <v/>
      </c>
      <c r="V35" s="502" t="str">
        <f>'LIHTCs&amp;BLDGs'!V24</f>
        <v/>
      </c>
      <c r="W35" s="502" t="str">
        <f>'LIHTCs&amp;BLDGs'!W24</f>
        <v/>
      </c>
      <c r="X35" s="502" t="str">
        <f>'LIHTCs&amp;BLDGs'!X24</f>
        <v/>
      </c>
      <c r="Y35" s="502" t="str">
        <f>'LIHTCs&amp;BLDGs'!Y24</f>
        <v/>
      </c>
      <c r="Z35" s="502" t="str">
        <f>'LIHTCs&amp;BLDGs'!Z24</f>
        <v/>
      </c>
      <c r="AA35" s="502" t="str">
        <f>'LIHTCs&amp;BLDGs'!AA24</f>
        <v/>
      </c>
      <c r="AB35" s="502" t="str">
        <f>'LIHTCs&amp;BLDGs'!AB24</f>
        <v/>
      </c>
      <c r="AC35" s="502" t="str">
        <f>'LIHTCs&amp;BLDGs'!AC24</f>
        <v/>
      </c>
      <c r="AD35" s="502" t="str">
        <f>'LIHTCs&amp;BLDGs'!AD24</f>
        <v/>
      </c>
      <c r="AE35" s="502" t="str">
        <f>'LIHTCs&amp;BLDGs'!AE24</f>
        <v/>
      </c>
      <c r="AF35" s="502" t="str">
        <f>'LIHTCs&amp;BLDGs'!AF24</f>
        <v/>
      </c>
      <c r="AG35" s="502" t="str">
        <f>'LIHTCs&amp;BLDGs'!AG24</f>
        <v/>
      </c>
      <c r="AH35" s="502" t="str">
        <f>'LIHTCs&amp;BLDGs'!AH24</f>
        <v/>
      </c>
      <c r="AI35" s="502" t="str">
        <f>'LIHTCs&amp;BLDGs'!AI24</f>
        <v/>
      </c>
      <c r="AJ35" s="502" t="str">
        <f>'LIHTCs&amp;BLDGs'!AJ24</f>
        <v/>
      </c>
      <c r="AK35" s="502" t="str">
        <f>'LIHTCs&amp;BLDGs'!AK24</f>
        <v/>
      </c>
      <c r="AL35" s="502" t="str">
        <f>'LIHTCs&amp;BLDGs'!AL24</f>
        <v/>
      </c>
      <c r="AM35" s="502" t="str">
        <f>'LIHTCs&amp;BLDGs'!AM24</f>
        <v/>
      </c>
      <c r="AN35" s="502" t="str">
        <f>'LIHTCs&amp;BLDGs'!AN24</f>
        <v/>
      </c>
      <c r="AO35" s="502" t="str">
        <f>'LIHTCs&amp;BLDGs'!AO24</f>
        <v/>
      </c>
      <c r="AP35" s="502" t="str">
        <f>'LIHTCs&amp;BLDGs'!AP24</f>
        <v/>
      </c>
      <c r="AQ35" s="502" t="str">
        <f>'LIHTCs&amp;BLDGs'!AQ24</f>
        <v/>
      </c>
      <c r="AR35" s="502" t="str">
        <f>'LIHTCs&amp;BLDGs'!AR24</f>
        <v/>
      </c>
      <c r="AS35" s="502" t="str">
        <f>'LIHTCs&amp;BLDGs'!AS24</f>
        <v/>
      </c>
      <c r="AT35" s="502" t="str">
        <f>'LIHTCs&amp;BLDGs'!AT24</f>
        <v/>
      </c>
      <c r="AU35" s="502" t="str">
        <f>'LIHTCs&amp;BLDGs'!AU24</f>
        <v/>
      </c>
      <c r="AV35" s="502" t="str">
        <f>'LIHTCs&amp;BLDGs'!AV24</f>
        <v/>
      </c>
      <c r="AW35" s="502" t="str">
        <f>'LIHTCs&amp;BLDGs'!AW24</f>
        <v/>
      </c>
      <c r="AX35" s="502" t="str">
        <f>'LIHTCs&amp;BLDGs'!AX24</f>
        <v/>
      </c>
      <c r="AY35" s="502" t="str">
        <f>'LIHTCs&amp;BLDGs'!AY24</f>
        <v/>
      </c>
      <c r="AZ35" s="502" t="str">
        <f>'LIHTCs&amp;BLDGs'!AZ24</f>
        <v/>
      </c>
    </row>
    <row r="36" spans="1:225" s="682" customFormat="1">
      <c r="A36" s="1611" t="s">
        <v>900</v>
      </c>
      <c r="B36" s="1612"/>
      <c r="C36" s="1613" t="str">
        <f t="shared" ref="C36:AZ36" si="9">IF(C34&gt;C35,C35,C34)</f>
        <v/>
      </c>
      <c r="D36" s="1614" t="str">
        <f t="shared" si="9"/>
        <v/>
      </c>
      <c r="E36" s="1614" t="str">
        <f t="shared" si="9"/>
        <v/>
      </c>
      <c r="F36" s="1614" t="str">
        <f t="shared" si="9"/>
        <v/>
      </c>
      <c r="G36" s="1614" t="str">
        <f t="shared" si="9"/>
        <v/>
      </c>
      <c r="H36" s="1614" t="str">
        <f t="shared" si="9"/>
        <v/>
      </c>
      <c r="I36" s="1614" t="str">
        <f t="shared" si="9"/>
        <v/>
      </c>
      <c r="J36" s="1614" t="str">
        <f t="shared" si="9"/>
        <v/>
      </c>
      <c r="K36" s="1614" t="str">
        <f t="shared" si="9"/>
        <v/>
      </c>
      <c r="L36" s="1614" t="str">
        <f t="shared" si="9"/>
        <v/>
      </c>
      <c r="M36" s="1614" t="str">
        <f t="shared" si="9"/>
        <v/>
      </c>
      <c r="N36" s="1614" t="str">
        <f t="shared" si="9"/>
        <v/>
      </c>
      <c r="O36" s="1614" t="str">
        <f t="shared" si="9"/>
        <v/>
      </c>
      <c r="P36" s="1614" t="str">
        <f t="shared" si="9"/>
        <v/>
      </c>
      <c r="Q36" s="1614" t="str">
        <f t="shared" si="9"/>
        <v/>
      </c>
      <c r="R36" s="1614" t="str">
        <f t="shared" si="9"/>
        <v/>
      </c>
      <c r="S36" s="1614" t="str">
        <f t="shared" si="9"/>
        <v/>
      </c>
      <c r="T36" s="1614" t="str">
        <f t="shared" si="9"/>
        <v/>
      </c>
      <c r="U36" s="1614" t="str">
        <f t="shared" si="9"/>
        <v/>
      </c>
      <c r="V36" s="1614" t="str">
        <f t="shared" si="9"/>
        <v/>
      </c>
      <c r="W36" s="1614" t="str">
        <f t="shared" si="9"/>
        <v/>
      </c>
      <c r="X36" s="1614" t="str">
        <f t="shared" si="9"/>
        <v/>
      </c>
      <c r="Y36" s="1614" t="str">
        <f t="shared" si="9"/>
        <v/>
      </c>
      <c r="Z36" s="1614" t="str">
        <f t="shared" si="9"/>
        <v/>
      </c>
      <c r="AA36" s="1614" t="str">
        <f t="shared" si="9"/>
        <v/>
      </c>
      <c r="AB36" s="1614" t="str">
        <f t="shared" si="9"/>
        <v/>
      </c>
      <c r="AC36" s="1614" t="str">
        <f t="shared" si="9"/>
        <v/>
      </c>
      <c r="AD36" s="1614" t="str">
        <f t="shared" si="9"/>
        <v/>
      </c>
      <c r="AE36" s="1614" t="str">
        <f t="shared" si="9"/>
        <v/>
      </c>
      <c r="AF36" s="1614" t="str">
        <f t="shared" si="9"/>
        <v/>
      </c>
      <c r="AG36" s="1614" t="str">
        <f t="shared" si="9"/>
        <v/>
      </c>
      <c r="AH36" s="1614" t="str">
        <f t="shared" si="9"/>
        <v/>
      </c>
      <c r="AI36" s="1614" t="str">
        <f t="shared" si="9"/>
        <v/>
      </c>
      <c r="AJ36" s="1614" t="str">
        <f t="shared" si="9"/>
        <v/>
      </c>
      <c r="AK36" s="1614" t="str">
        <f t="shared" si="9"/>
        <v/>
      </c>
      <c r="AL36" s="1614" t="str">
        <f t="shared" si="9"/>
        <v/>
      </c>
      <c r="AM36" s="1614" t="str">
        <f t="shared" si="9"/>
        <v/>
      </c>
      <c r="AN36" s="1614" t="str">
        <f t="shared" si="9"/>
        <v/>
      </c>
      <c r="AO36" s="1614" t="str">
        <f t="shared" si="9"/>
        <v/>
      </c>
      <c r="AP36" s="1614" t="str">
        <f t="shared" si="9"/>
        <v/>
      </c>
      <c r="AQ36" s="1614" t="str">
        <f t="shared" si="9"/>
        <v/>
      </c>
      <c r="AR36" s="1614" t="str">
        <f t="shared" si="9"/>
        <v/>
      </c>
      <c r="AS36" s="1614" t="str">
        <f t="shared" si="9"/>
        <v/>
      </c>
      <c r="AT36" s="1614" t="str">
        <f t="shared" si="9"/>
        <v/>
      </c>
      <c r="AU36" s="1614" t="str">
        <f t="shared" si="9"/>
        <v/>
      </c>
      <c r="AV36" s="1614" t="str">
        <f t="shared" si="9"/>
        <v/>
      </c>
      <c r="AW36" s="1614" t="str">
        <f t="shared" si="9"/>
        <v/>
      </c>
      <c r="AX36" s="1614" t="str">
        <f t="shared" si="9"/>
        <v/>
      </c>
      <c r="AY36" s="1614" t="str">
        <f t="shared" si="9"/>
        <v/>
      </c>
      <c r="AZ36" s="1615" t="str">
        <f t="shared" si="9"/>
        <v/>
      </c>
      <c r="BA36" s="1570"/>
      <c r="BB36" s="1570"/>
      <c r="BC36" s="1570"/>
      <c r="BD36" s="1570"/>
      <c r="BE36" s="1570"/>
      <c r="BF36" s="1570"/>
      <c r="BG36" s="1570"/>
      <c r="BH36" s="1570"/>
      <c r="BI36" s="1570"/>
      <c r="BJ36" s="1570"/>
      <c r="BK36" s="1570"/>
      <c r="BL36" s="1570"/>
      <c r="BM36" s="1570"/>
      <c r="BN36" s="1570"/>
      <c r="BO36" s="1570"/>
      <c r="BP36" s="1570"/>
      <c r="BQ36" s="1570"/>
      <c r="BR36" s="1570"/>
      <c r="BS36" s="1570"/>
      <c r="BT36" s="1570"/>
      <c r="BU36" s="1570"/>
      <c r="BV36" s="1570"/>
      <c r="BW36" s="1570"/>
      <c r="BX36" s="1570"/>
      <c r="BY36" s="1570"/>
      <c r="BZ36" s="1570"/>
      <c r="CA36" s="1570"/>
      <c r="CB36" s="1570"/>
      <c r="CC36" s="1570"/>
      <c r="CD36" s="1570"/>
      <c r="CE36" s="1570"/>
      <c r="CF36" s="1570"/>
      <c r="CG36" s="1570"/>
      <c r="CH36" s="1570"/>
      <c r="CI36" s="1570"/>
      <c r="CJ36" s="1570"/>
      <c r="CK36" s="1570"/>
      <c r="CL36" s="1570"/>
      <c r="CM36" s="1570"/>
      <c r="CN36" s="1570"/>
      <c r="CO36" s="1570"/>
      <c r="CP36" s="1570"/>
      <c r="CQ36" s="1570"/>
      <c r="CR36" s="1570"/>
      <c r="CS36" s="1570"/>
      <c r="CT36" s="1570"/>
      <c r="CU36" s="1570"/>
      <c r="CV36" s="1570"/>
      <c r="CW36" s="1570"/>
      <c r="CX36" s="1570"/>
      <c r="CY36" s="1570"/>
      <c r="CZ36" s="1570"/>
      <c r="DA36" s="1570"/>
      <c r="DB36" s="1570"/>
      <c r="DC36" s="1570"/>
      <c r="DD36" s="1570"/>
      <c r="DE36" s="1570"/>
      <c r="DF36" s="1570"/>
      <c r="DG36" s="1570"/>
      <c r="DH36" s="1570"/>
      <c r="DI36" s="1570"/>
      <c r="DJ36" s="1570"/>
      <c r="DK36" s="1570"/>
      <c r="DL36" s="1570"/>
      <c r="DM36" s="1570"/>
      <c r="DN36" s="1570"/>
      <c r="DO36" s="1570"/>
      <c r="DP36" s="1570"/>
      <c r="DQ36" s="1570"/>
      <c r="DR36" s="1570"/>
      <c r="DS36" s="1570"/>
      <c r="DT36" s="1570"/>
      <c r="DU36" s="1570"/>
      <c r="DV36" s="1570"/>
      <c r="DW36" s="1570"/>
      <c r="DX36" s="1570"/>
      <c r="DY36" s="1570"/>
      <c r="DZ36" s="1570"/>
      <c r="EA36" s="1570"/>
      <c r="EB36" s="1570"/>
      <c r="EC36" s="1570"/>
      <c r="ED36" s="1570"/>
      <c r="EE36" s="1570"/>
      <c r="EF36" s="1570"/>
      <c r="EG36" s="1570"/>
      <c r="EH36" s="1570"/>
      <c r="EI36" s="1570"/>
      <c r="EJ36" s="1570"/>
      <c r="EK36" s="1570"/>
      <c r="EL36" s="1570"/>
      <c r="EM36" s="1570"/>
      <c r="EN36" s="1570"/>
      <c r="EO36" s="1570"/>
      <c r="EP36" s="1570"/>
      <c r="EQ36" s="1570"/>
      <c r="ER36" s="1570"/>
      <c r="ES36" s="1570"/>
      <c r="ET36" s="1570"/>
      <c r="EU36" s="1570"/>
      <c r="EV36" s="1570"/>
      <c r="EW36" s="1570"/>
      <c r="EX36" s="1570"/>
      <c r="EY36" s="1570"/>
      <c r="EZ36" s="1570"/>
      <c r="FA36" s="1570"/>
      <c r="FB36" s="1570"/>
      <c r="FC36" s="1570"/>
      <c r="FD36" s="1570"/>
      <c r="FE36" s="1570"/>
      <c r="FF36" s="1570"/>
      <c r="FG36" s="1570"/>
      <c r="FH36" s="1570"/>
      <c r="FI36" s="1570"/>
      <c r="FJ36" s="1570"/>
      <c r="FK36" s="1570"/>
      <c r="FL36" s="1570"/>
      <c r="FM36" s="1570"/>
      <c r="FN36" s="1570"/>
      <c r="FO36" s="1570"/>
      <c r="FP36" s="1570"/>
      <c r="FQ36" s="1570"/>
      <c r="FR36" s="1570"/>
      <c r="FS36" s="1570"/>
      <c r="FT36" s="1570"/>
      <c r="FU36" s="1570"/>
      <c r="FV36" s="1570"/>
      <c r="FW36" s="1570"/>
      <c r="FX36" s="1570"/>
      <c r="FY36" s="1570"/>
      <c r="FZ36" s="1570"/>
      <c r="GA36" s="1570"/>
      <c r="GB36" s="1570"/>
      <c r="GC36" s="1570"/>
      <c r="GD36" s="1570"/>
      <c r="GE36" s="1570"/>
      <c r="GF36" s="1570"/>
      <c r="GG36" s="1570"/>
      <c r="GH36" s="1570"/>
      <c r="GI36" s="1570"/>
      <c r="GJ36" s="1570"/>
      <c r="GK36" s="1570"/>
      <c r="GL36" s="1570"/>
      <c r="GM36" s="1570"/>
      <c r="GN36" s="1570"/>
      <c r="GO36" s="1570"/>
      <c r="GP36" s="1570"/>
      <c r="GQ36" s="1570"/>
      <c r="GR36" s="1570"/>
      <c r="GS36" s="1570"/>
      <c r="GT36" s="1570"/>
      <c r="GU36" s="1570"/>
      <c r="GV36" s="1570"/>
      <c r="GW36" s="1570"/>
      <c r="GX36" s="1570"/>
      <c r="GY36" s="1570"/>
      <c r="GZ36" s="1570"/>
      <c r="HA36" s="1570"/>
      <c r="HB36" s="1570"/>
      <c r="HC36" s="1570"/>
      <c r="HD36" s="1570"/>
      <c r="HE36" s="1570"/>
      <c r="HF36" s="1570"/>
      <c r="HG36" s="1570"/>
      <c r="HH36" s="1570"/>
      <c r="HI36" s="1570"/>
      <c r="HJ36" s="1570"/>
      <c r="HK36" s="1570"/>
      <c r="HL36" s="1570"/>
      <c r="HM36" s="1570"/>
      <c r="HN36" s="1570"/>
      <c r="HO36" s="1570"/>
      <c r="HP36" s="1570"/>
      <c r="HQ36" s="1570"/>
    </row>
    <row r="37" spans="1:225">
      <c r="A37" s="504"/>
      <c r="B37" s="1616"/>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L37" s="505"/>
      <c r="AM37" s="505"/>
      <c r="AN37" s="505"/>
      <c r="AO37" s="505"/>
      <c r="AP37" s="505"/>
      <c r="AQ37" s="505"/>
      <c r="AR37" s="505"/>
      <c r="AS37" s="505"/>
      <c r="AT37" s="505"/>
      <c r="AU37" s="505"/>
      <c r="AV37" s="505"/>
      <c r="AW37" s="505"/>
      <c r="AX37" s="505"/>
      <c r="AY37" s="505"/>
      <c r="AZ37" s="714"/>
    </row>
    <row r="38" spans="1:225" s="682" customFormat="1">
      <c r="A38" s="1617" t="s">
        <v>901</v>
      </c>
      <c r="B38" s="1612" t="str">
        <f>IF(Setup!L4="No","No Acq. Credits", "")</f>
        <v>No Acq. Credits</v>
      </c>
      <c r="C38" s="1618"/>
      <c r="D38" s="1604"/>
      <c r="E38" s="1604"/>
      <c r="F38" s="1604"/>
      <c r="G38" s="1604"/>
      <c r="H38" s="1604"/>
      <c r="I38" s="1604"/>
      <c r="J38" s="1604"/>
      <c r="K38" s="1604"/>
      <c r="L38" s="1604"/>
      <c r="M38" s="1604"/>
      <c r="N38" s="1604"/>
      <c r="O38" s="1604"/>
      <c r="P38" s="1604"/>
      <c r="Q38" s="1604"/>
      <c r="R38" s="1604"/>
      <c r="S38" s="1604"/>
      <c r="T38" s="1604"/>
      <c r="U38" s="1604"/>
      <c r="V38" s="1604"/>
      <c r="W38" s="1604"/>
      <c r="X38" s="1604"/>
      <c r="Y38" s="1604"/>
      <c r="Z38" s="1604"/>
      <c r="AA38" s="1604"/>
      <c r="AB38" s="1604"/>
      <c r="AC38" s="1604"/>
      <c r="AD38" s="1604"/>
      <c r="AE38" s="1604"/>
      <c r="AF38" s="1604"/>
      <c r="AG38" s="1604"/>
      <c r="AH38" s="1604"/>
      <c r="AI38" s="1604"/>
      <c r="AJ38" s="1604"/>
      <c r="AK38" s="1604"/>
      <c r="AL38" s="1604"/>
      <c r="AM38" s="1604"/>
      <c r="AN38" s="1604"/>
      <c r="AO38" s="1604"/>
      <c r="AP38" s="1604"/>
      <c r="AQ38" s="1604"/>
      <c r="AR38" s="1604"/>
      <c r="AS38" s="1604"/>
      <c r="AT38" s="1604"/>
      <c r="AU38" s="1604"/>
      <c r="AV38" s="1604"/>
      <c r="AW38" s="1604"/>
      <c r="AX38" s="1604"/>
      <c r="AY38" s="1604"/>
      <c r="AZ38" s="1619"/>
      <c r="BA38" s="1570"/>
      <c r="BB38" s="1570"/>
      <c r="BC38" s="1570"/>
      <c r="BD38" s="1570"/>
      <c r="BE38" s="1570"/>
      <c r="BF38" s="1570"/>
      <c r="BG38" s="1570"/>
      <c r="BH38" s="1570"/>
      <c r="BI38" s="1570"/>
      <c r="BJ38" s="1570"/>
      <c r="BK38" s="1570"/>
      <c r="BL38" s="1570"/>
      <c r="BM38" s="1570"/>
      <c r="BN38" s="1570"/>
      <c r="BO38" s="1570"/>
      <c r="BP38" s="1570"/>
      <c r="BQ38" s="1570"/>
      <c r="BR38" s="1570"/>
      <c r="BS38" s="1570"/>
      <c r="BT38" s="1570"/>
      <c r="BU38" s="1570"/>
      <c r="BV38" s="1570"/>
      <c r="BW38" s="1570"/>
      <c r="BX38" s="1570"/>
      <c r="BY38" s="1570"/>
      <c r="BZ38" s="1570"/>
      <c r="CA38" s="1570"/>
      <c r="CB38" s="1570"/>
      <c r="CC38" s="1570"/>
      <c r="CD38" s="1570"/>
      <c r="CE38" s="1570"/>
      <c r="CF38" s="1570"/>
      <c r="CG38" s="1570"/>
      <c r="CH38" s="1570"/>
      <c r="CI38" s="1570"/>
      <c r="CJ38" s="1570"/>
      <c r="CK38" s="1570"/>
      <c r="CL38" s="1570"/>
      <c r="CM38" s="1570"/>
      <c r="CN38" s="1570"/>
      <c r="CO38" s="1570"/>
      <c r="CP38" s="1570"/>
      <c r="CQ38" s="1570"/>
      <c r="CR38" s="1570"/>
      <c r="CS38" s="1570"/>
      <c r="CT38" s="1570"/>
      <c r="CU38" s="1570"/>
      <c r="CV38" s="1570"/>
      <c r="CW38" s="1570"/>
      <c r="CX38" s="1570"/>
      <c r="CY38" s="1570"/>
      <c r="CZ38" s="1570"/>
      <c r="DA38" s="1570"/>
      <c r="DB38" s="1570"/>
      <c r="DC38" s="1570"/>
      <c r="DD38" s="1570"/>
      <c r="DE38" s="1570"/>
      <c r="DF38" s="1570"/>
      <c r="DG38" s="1570"/>
      <c r="DH38" s="1570"/>
      <c r="DI38" s="1570"/>
      <c r="DJ38" s="1570"/>
      <c r="DK38" s="1570"/>
      <c r="DL38" s="1570"/>
      <c r="DM38" s="1570"/>
      <c r="DN38" s="1570"/>
      <c r="DO38" s="1570"/>
      <c r="DP38" s="1570"/>
      <c r="DQ38" s="1570"/>
      <c r="DR38" s="1570"/>
      <c r="DS38" s="1570"/>
      <c r="DT38" s="1570"/>
      <c r="DU38" s="1570"/>
      <c r="DV38" s="1570"/>
      <c r="DW38" s="1570"/>
      <c r="DX38" s="1570"/>
      <c r="DY38" s="1570"/>
      <c r="DZ38" s="1570"/>
      <c r="EA38" s="1570"/>
      <c r="EB38" s="1570"/>
      <c r="EC38" s="1570"/>
      <c r="ED38" s="1570"/>
      <c r="EE38" s="1570"/>
      <c r="EF38" s="1570"/>
      <c r="EG38" s="1570"/>
      <c r="EH38" s="1570"/>
      <c r="EI38" s="1570"/>
      <c r="EJ38" s="1570"/>
      <c r="EK38" s="1570"/>
      <c r="EL38" s="1570"/>
      <c r="EM38" s="1570"/>
      <c r="EN38" s="1570"/>
      <c r="EO38" s="1570"/>
      <c r="EP38" s="1570"/>
      <c r="EQ38" s="1570"/>
      <c r="ER38" s="1570"/>
      <c r="ES38" s="1570"/>
      <c r="ET38" s="1570"/>
      <c r="EU38" s="1570"/>
      <c r="EV38" s="1570"/>
      <c r="EW38" s="1570"/>
      <c r="EX38" s="1570"/>
      <c r="EY38" s="1570"/>
      <c r="EZ38" s="1570"/>
      <c r="FA38" s="1570"/>
      <c r="FB38" s="1570"/>
      <c r="FC38" s="1570"/>
      <c r="FD38" s="1570"/>
      <c r="FE38" s="1570"/>
      <c r="FF38" s="1570"/>
      <c r="FG38" s="1570"/>
      <c r="FH38" s="1570"/>
      <c r="FI38" s="1570"/>
      <c r="FJ38" s="1570"/>
      <c r="FK38" s="1570"/>
      <c r="FL38" s="1570"/>
      <c r="FM38" s="1570"/>
      <c r="FN38" s="1570"/>
      <c r="FO38" s="1570"/>
      <c r="FP38" s="1570"/>
      <c r="FQ38" s="1570"/>
      <c r="FR38" s="1570"/>
      <c r="FS38" s="1570"/>
      <c r="FT38" s="1570"/>
      <c r="FU38" s="1570"/>
      <c r="FV38" s="1570"/>
      <c r="FW38" s="1570"/>
      <c r="FX38" s="1570"/>
      <c r="FY38" s="1570"/>
      <c r="FZ38" s="1570"/>
      <c r="GA38" s="1570"/>
      <c r="GB38" s="1570"/>
      <c r="GC38" s="1570"/>
      <c r="GD38" s="1570"/>
      <c r="GE38" s="1570"/>
      <c r="GF38" s="1570"/>
      <c r="GG38" s="1570"/>
      <c r="GH38" s="1570"/>
      <c r="GI38" s="1570"/>
      <c r="GJ38" s="1570"/>
      <c r="GK38" s="1570"/>
      <c r="GL38" s="1570"/>
      <c r="GM38" s="1570"/>
      <c r="GN38" s="1570"/>
      <c r="GO38" s="1570"/>
      <c r="GP38" s="1570"/>
      <c r="GQ38" s="1570"/>
      <c r="GR38" s="1570"/>
      <c r="GS38" s="1570"/>
      <c r="GT38" s="1570"/>
      <c r="GU38" s="1570"/>
      <c r="GV38" s="1570"/>
      <c r="GW38" s="1570"/>
      <c r="GX38" s="1570"/>
      <c r="GY38" s="1570"/>
      <c r="GZ38" s="1570"/>
      <c r="HA38" s="1570"/>
      <c r="HB38" s="1570"/>
      <c r="HC38" s="1570"/>
      <c r="HD38" s="1570"/>
      <c r="HE38" s="1570"/>
      <c r="HF38" s="1570"/>
      <c r="HG38" s="1570"/>
      <c r="HH38" s="1570"/>
      <c r="HI38" s="1570"/>
      <c r="HJ38" s="1570"/>
      <c r="HK38" s="1570"/>
      <c r="HL38" s="1570"/>
      <c r="HM38" s="1570"/>
      <c r="HN38" s="1570"/>
      <c r="HO38" s="1570"/>
      <c r="HP38" s="1570"/>
      <c r="HQ38" s="1570"/>
    </row>
    <row r="39" spans="1:225" s="506" customFormat="1">
      <c r="A39" s="1620" t="s">
        <v>902</v>
      </c>
      <c r="B39" s="1621">
        <f>IF(B38="",DevCosts!I12,0)</f>
        <v>0</v>
      </c>
      <c r="C39" s="1622">
        <f>IF(C32="","",$B$39*C33)</f>
        <v>0</v>
      </c>
      <c r="D39" s="1623" t="str">
        <f t="shared" ref="D39:AZ39" si="10">IF(D32="","",$B$39*D33)</f>
        <v/>
      </c>
      <c r="E39" s="1623" t="str">
        <f t="shared" si="10"/>
        <v/>
      </c>
      <c r="F39" s="1623" t="str">
        <f t="shared" si="10"/>
        <v/>
      </c>
      <c r="G39" s="1623" t="str">
        <f t="shared" si="10"/>
        <v/>
      </c>
      <c r="H39" s="1623" t="str">
        <f t="shared" si="10"/>
        <v/>
      </c>
      <c r="I39" s="1623" t="str">
        <f t="shared" si="10"/>
        <v/>
      </c>
      <c r="J39" s="1623" t="str">
        <f t="shared" si="10"/>
        <v/>
      </c>
      <c r="K39" s="1623" t="str">
        <f t="shared" si="10"/>
        <v/>
      </c>
      <c r="L39" s="1623" t="str">
        <f t="shared" si="10"/>
        <v/>
      </c>
      <c r="M39" s="1623" t="str">
        <f t="shared" si="10"/>
        <v/>
      </c>
      <c r="N39" s="1623" t="str">
        <f t="shared" si="10"/>
        <v/>
      </c>
      <c r="O39" s="1623" t="str">
        <f t="shared" si="10"/>
        <v/>
      </c>
      <c r="P39" s="1623" t="str">
        <f t="shared" si="10"/>
        <v/>
      </c>
      <c r="Q39" s="1623" t="str">
        <f t="shared" si="10"/>
        <v/>
      </c>
      <c r="R39" s="1623" t="str">
        <f t="shared" si="10"/>
        <v/>
      </c>
      <c r="S39" s="1623" t="str">
        <f t="shared" si="10"/>
        <v/>
      </c>
      <c r="T39" s="1623" t="str">
        <f t="shared" si="10"/>
        <v/>
      </c>
      <c r="U39" s="1623" t="str">
        <f t="shared" si="10"/>
        <v/>
      </c>
      <c r="V39" s="1623" t="str">
        <f t="shared" si="10"/>
        <v/>
      </c>
      <c r="W39" s="1623" t="str">
        <f t="shared" si="10"/>
        <v/>
      </c>
      <c r="X39" s="1623" t="str">
        <f t="shared" si="10"/>
        <v/>
      </c>
      <c r="Y39" s="1623" t="str">
        <f t="shared" si="10"/>
        <v/>
      </c>
      <c r="Z39" s="1623" t="str">
        <f t="shared" si="10"/>
        <v/>
      </c>
      <c r="AA39" s="1623" t="str">
        <f t="shared" si="10"/>
        <v/>
      </c>
      <c r="AB39" s="1623" t="str">
        <f t="shared" si="10"/>
        <v/>
      </c>
      <c r="AC39" s="1623" t="str">
        <f t="shared" si="10"/>
        <v/>
      </c>
      <c r="AD39" s="1623" t="str">
        <f t="shared" si="10"/>
        <v/>
      </c>
      <c r="AE39" s="1623" t="str">
        <f t="shared" si="10"/>
        <v/>
      </c>
      <c r="AF39" s="1623" t="str">
        <f t="shared" si="10"/>
        <v/>
      </c>
      <c r="AG39" s="1623" t="str">
        <f t="shared" si="10"/>
        <v/>
      </c>
      <c r="AH39" s="1623" t="str">
        <f t="shared" si="10"/>
        <v/>
      </c>
      <c r="AI39" s="1623" t="str">
        <f t="shared" si="10"/>
        <v/>
      </c>
      <c r="AJ39" s="1623" t="str">
        <f t="shared" si="10"/>
        <v/>
      </c>
      <c r="AK39" s="1623" t="str">
        <f t="shared" si="10"/>
        <v/>
      </c>
      <c r="AL39" s="1623" t="str">
        <f t="shared" si="10"/>
        <v/>
      </c>
      <c r="AM39" s="1623" t="str">
        <f t="shared" si="10"/>
        <v/>
      </c>
      <c r="AN39" s="1623" t="str">
        <f t="shared" si="10"/>
        <v/>
      </c>
      <c r="AO39" s="1623" t="str">
        <f t="shared" si="10"/>
        <v/>
      </c>
      <c r="AP39" s="1623" t="str">
        <f t="shared" si="10"/>
        <v/>
      </c>
      <c r="AQ39" s="1623" t="str">
        <f t="shared" si="10"/>
        <v/>
      </c>
      <c r="AR39" s="1623" t="str">
        <f t="shared" si="10"/>
        <v/>
      </c>
      <c r="AS39" s="1623" t="str">
        <f t="shared" si="10"/>
        <v/>
      </c>
      <c r="AT39" s="1623" t="str">
        <f t="shared" si="10"/>
        <v/>
      </c>
      <c r="AU39" s="1623" t="str">
        <f t="shared" si="10"/>
        <v/>
      </c>
      <c r="AV39" s="1623" t="str">
        <f t="shared" si="10"/>
        <v/>
      </c>
      <c r="AW39" s="1623" t="str">
        <f t="shared" si="10"/>
        <v/>
      </c>
      <c r="AX39" s="1623" t="str">
        <f t="shared" si="10"/>
        <v/>
      </c>
      <c r="AY39" s="1623" t="str">
        <f t="shared" si="10"/>
        <v/>
      </c>
      <c r="AZ39" s="1623" t="str">
        <f t="shared" si="10"/>
        <v/>
      </c>
      <c r="BA39" s="1624"/>
      <c r="BB39" s="1624"/>
      <c r="BC39" s="1624"/>
      <c r="BD39" s="1624"/>
      <c r="BE39" s="1624"/>
      <c r="BF39" s="1624"/>
      <c r="BG39" s="1624"/>
      <c r="BH39" s="1624"/>
      <c r="BI39" s="1624"/>
      <c r="BJ39" s="1624"/>
      <c r="BK39" s="1624"/>
      <c r="BL39" s="1624"/>
      <c r="BM39" s="1624"/>
      <c r="BN39" s="1624"/>
      <c r="BO39" s="1624"/>
      <c r="BP39" s="1624"/>
      <c r="BQ39" s="1624"/>
      <c r="BR39" s="1624"/>
      <c r="BS39" s="1624"/>
      <c r="BT39" s="1624"/>
      <c r="BU39" s="1624"/>
      <c r="BV39" s="1624"/>
      <c r="BW39" s="1624"/>
      <c r="BX39" s="1624"/>
      <c r="BY39" s="1624"/>
      <c r="BZ39" s="1624"/>
      <c r="CA39" s="1624"/>
      <c r="CB39" s="1624"/>
      <c r="CC39" s="1624"/>
      <c r="CD39" s="1624"/>
      <c r="CE39" s="1624"/>
      <c r="CF39" s="1624"/>
      <c r="CG39" s="1624"/>
      <c r="CH39" s="1624"/>
      <c r="CI39" s="1624"/>
      <c r="CJ39" s="1624"/>
      <c r="CK39" s="1624"/>
      <c r="CL39" s="1624"/>
      <c r="CM39" s="1624"/>
      <c r="CN39" s="1624"/>
      <c r="CO39" s="1624"/>
      <c r="CP39" s="1624"/>
      <c r="CQ39" s="1624"/>
      <c r="CR39" s="1624"/>
      <c r="CS39" s="1624"/>
      <c r="CT39" s="1624"/>
      <c r="CU39" s="1624"/>
      <c r="CV39" s="1624"/>
      <c r="CW39" s="1624"/>
      <c r="CX39" s="1624"/>
      <c r="CY39" s="1624"/>
      <c r="CZ39" s="1624"/>
      <c r="DA39" s="1624"/>
      <c r="DB39" s="1624"/>
      <c r="DC39" s="1624"/>
      <c r="DD39" s="1624"/>
      <c r="DE39" s="1624"/>
      <c r="DF39" s="1624"/>
      <c r="DG39" s="1624"/>
      <c r="DH39" s="1624"/>
      <c r="DI39" s="1624"/>
      <c r="DJ39" s="1624"/>
      <c r="DK39" s="1624"/>
      <c r="DL39" s="1624"/>
      <c r="DM39" s="1624"/>
      <c r="DN39" s="1624"/>
      <c r="DO39" s="1624"/>
      <c r="DP39" s="1624"/>
      <c r="DQ39" s="1624"/>
      <c r="DR39" s="1624"/>
      <c r="DS39" s="1624"/>
      <c r="DT39" s="1624"/>
      <c r="DU39" s="1624"/>
      <c r="DV39" s="1624"/>
      <c r="DW39" s="1624"/>
      <c r="DX39" s="1624"/>
      <c r="DY39" s="1624"/>
      <c r="DZ39" s="1624"/>
      <c r="EA39" s="1624"/>
      <c r="EB39" s="1624"/>
      <c r="EC39" s="1624"/>
      <c r="ED39" s="1624"/>
      <c r="EE39" s="1624"/>
      <c r="EF39" s="1624"/>
      <c r="EG39" s="1624"/>
      <c r="EH39" s="1624"/>
      <c r="EI39" s="1624"/>
      <c r="EJ39" s="1624"/>
      <c r="EK39" s="1624"/>
      <c r="EL39" s="1624"/>
      <c r="EM39" s="1624"/>
      <c r="EN39" s="1624"/>
      <c r="EO39" s="1624"/>
      <c r="EP39" s="1624"/>
      <c r="EQ39" s="1624"/>
      <c r="ER39" s="1624"/>
      <c r="ES39" s="1624"/>
      <c r="ET39" s="1624"/>
      <c r="EU39" s="1624"/>
      <c r="EV39" s="1624"/>
      <c r="EW39" s="1624"/>
      <c r="EX39" s="1624"/>
      <c r="EY39" s="1624"/>
      <c r="EZ39" s="1624"/>
      <c r="FA39" s="1624"/>
      <c r="FB39" s="1624"/>
      <c r="FC39" s="1624"/>
      <c r="FD39" s="1624"/>
      <c r="FE39" s="1624"/>
      <c r="FF39" s="1624"/>
      <c r="FG39" s="1624"/>
      <c r="FH39" s="1624"/>
      <c r="FI39" s="1624"/>
      <c r="FJ39" s="1624"/>
      <c r="FK39" s="1624"/>
      <c r="FL39" s="1624"/>
      <c r="FM39" s="1624"/>
      <c r="FN39" s="1624"/>
      <c r="FO39" s="1624"/>
      <c r="FP39" s="1624"/>
      <c r="FQ39" s="1624"/>
      <c r="FR39" s="1624"/>
      <c r="FS39" s="1624"/>
      <c r="FT39" s="1624"/>
      <c r="FU39" s="1624"/>
      <c r="FV39" s="1624"/>
      <c r="FW39" s="1624"/>
      <c r="FX39" s="1624"/>
      <c r="FY39" s="1624"/>
      <c r="FZ39" s="1624"/>
      <c r="GA39" s="1624"/>
      <c r="GB39" s="1624"/>
      <c r="GC39" s="1624"/>
      <c r="GD39" s="1624"/>
      <c r="GE39" s="1624"/>
      <c r="GF39" s="1624"/>
      <c r="GG39" s="1624"/>
      <c r="GH39" s="1624"/>
      <c r="GI39" s="1624"/>
      <c r="GJ39" s="1624"/>
      <c r="GK39" s="1624"/>
      <c r="GL39" s="1624"/>
      <c r="GM39" s="1624"/>
      <c r="GN39" s="1624"/>
      <c r="GO39" s="1624"/>
      <c r="GP39" s="1624"/>
      <c r="GQ39" s="1624"/>
      <c r="GR39" s="1624"/>
      <c r="GS39" s="1624"/>
      <c r="GT39" s="1624"/>
      <c r="GU39" s="1624"/>
      <c r="GV39" s="1624"/>
      <c r="GW39" s="1624"/>
      <c r="GX39" s="1624"/>
      <c r="GY39" s="1624"/>
      <c r="GZ39" s="1624"/>
      <c r="HA39" s="1624"/>
      <c r="HB39" s="1624"/>
      <c r="HC39" s="1624"/>
      <c r="HD39" s="1624"/>
      <c r="HE39" s="1624"/>
      <c r="HF39" s="1624"/>
      <c r="HG39" s="1624"/>
      <c r="HH39" s="1624"/>
      <c r="HI39" s="1624"/>
      <c r="HJ39" s="1624"/>
      <c r="HK39" s="1624"/>
      <c r="HL39" s="1624"/>
      <c r="HM39" s="1624"/>
      <c r="HN39" s="1624"/>
      <c r="HO39" s="1624"/>
      <c r="HP39" s="1624"/>
      <c r="HQ39" s="1624"/>
    </row>
    <row r="40" spans="1:225">
      <c r="A40" s="507" t="s">
        <v>903</v>
      </c>
      <c r="B40" s="508">
        <f>-DevCosts!L12</f>
        <v>0</v>
      </c>
      <c r="C40" s="509">
        <f>IF(C32="","",IF(Setup!$L$4="Yes",$B$40*C33,0))</f>
        <v>0</v>
      </c>
      <c r="D40" s="510" t="str">
        <f>IF(D32="","",IF(Setup!$L$4="Yes",$B$40*D33,0))</f>
        <v/>
      </c>
      <c r="E40" s="510" t="str">
        <f>IF(E32="","",IF(Setup!$L$4="Yes",$B$40*E33,0))</f>
        <v/>
      </c>
      <c r="F40" s="510" t="str">
        <f>IF(F32="","",IF(Setup!$L$4="Yes",$B$40*F33,0))</f>
        <v/>
      </c>
      <c r="G40" s="510" t="str">
        <f>IF(G32="","",IF(Setup!$L$4="Yes",$B$40*G33,0))</f>
        <v/>
      </c>
      <c r="H40" s="510" t="str">
        <f>IF(H32="","",IF(Setup!$L$4="Yes",$B$40*H33,0))</f>
        <v/>
      </c>
      <c r="I40" s="510" t="str">
        <f>IF(I32="","",IF(Setup!$L$4="Yes",$B$40*I33,0))</f>
        <v/>
      </c>
      <c r="J40" s="510" t="str">
        <f>IF(J32="","",IF(Setup!$L$4="Yes",$B$40*J33,0))</f>
        <v/>
      </c>
      <c r="K40" s="510" t="str">
        <f>IF(K32="","",IF(Setup!$L$4="Yes",$B$40*K33,0))</f>
        <v/>
      </c>
      <c r="L40" s="510" t="str">
        <f>IF(L32="","",IF(Setup!$L$4="Yes",$B$40*L33,0))</f>
        <v/>
      </c>
      <c r="M40" s="510" t="str">
        <f>IF(M32="","",IF(Setup!$L$4="Yes",$B$40*M33,0))</f>
        <v/>
      </c>
      <c r="N40" s="510" t="str">
        <f>IF(N32="","",IF(Setup!$L$4="Yes",$B$40*N33,0))</f>
        <v/>
      </c>
      <c r="O40" s="510" t="str">
        <f>IF(O32="","",IF(Setup!$L$4="Yes",$B$40*O33,0))</f>
        <v/>
      </c>
      <c r="P40" s="510" t="str">
        <f>IF(P32="","",IF(Setup!$L$4="Yes",$B$40*P33,0))</f>
        <v/>
      </c>
      <c r="Q40" s="510" t="str">
        <f>IF(Q32="","",IF(Setup!$L$4="Yes",$B$40*Q33,0))</f>
        <v/>
      </c>
      <c r="R40" s="510" t="str">
        <f>IF(R32="","",IF(Setup!$L$4="Yes",$B$40*R33,0))</f>
        <v/>
      </c>
      <c r="S40" s="510" t="str">
        <f>IF(S32="","",IF(Setup!$L$4="Yes",$B$40*S33,0))</f>
        <v/>
      </c>
      <c r="T40" s="510" t="str">
        <f>IF(T32="","",IF(Setup!$L$4="Yes",$B$40*T33,0))</f>
        <v/>
      </c>
      <c r="U40" s="510" t="str">
        <f>IF(U32="","",IF(Setup!$L$4="Yes",$B$40*U33,0))</f>
        <v/>
      </c>
      <c r="V40" s="510" t="str">
        <f>IF(V32="","",IF(Setup!$L$4="Yes",$B$40*V33,0))</f>
        <v/>
      </c>
      <c r="W40" s="510" t="str">
        <f>IF(W32="","",IF(Setup!$L$4="Yes",$B$40*W33,0))</f>
        <v/>
      </c>
      <c r="X40" s="510" t="str">
        <f>IF(X32="","",IF(Setup!$L$4="Yes",$B$40*X33,0))</f>
        <v/>
      </c>
      <c r="Y40" s="510" t="str">
        <f>IF(Y32="","",IF(Setup!$L$4="Yes",$B$40*Y33,0))</f>
        <v/>
      </c>
      <c r="Z40" s="510" t="str">
        <f>IF(Z32="","",IF(Setup!$L$4="Yes",$B$40*Z33,0))</f>
        <v/>
      </c>
      <c r="AA40" s="510" t="str">
        <f>IF(AA32="","",IF(Setup!$L$4="Yes",$B$40*AA33,0))</f>
        <v/>
      </c>
      <c r="AB40" s="510" t="str">
        <f>IF(AB32="","",IF(Setup!$L$4="Yes",$B$40*AB33,0))</f>
        <v/>
      </c>
      <c r="AC40" s="510" t="str">
        <f>IF(AC32="","",IF(Setup!$L$4="Yes",$B$40*AC33,0))</f>
        <v/>
      </c>
      <c r="AD40" s="510" t="str">
        <f>IF(AD32="","",IF(Setup!$L$4="Yes",$B$40*AD33,0))</f>
        <v/>
      </c>
      <c r="AE40" s="510" t="str">
        <f>IF(AE32="","",IF(Setup!$L$4="Yes",$B$40*AE33,0))</f>
        <v/>
      </c>
      <c r="AF40" s="510" t="str">
        <f>IF(AF32="","",IF(Setup!$L$4="Yes",$B$40*AF33,0))</f>
        <v/>
      </c>
      <c r="AG40" s="510" t="str">
        <f>IF(AG32="","",IF(Setup!$L$4="Yes",$B$40*AG33,0))</f>
        <v/>
      </c>
      <c r="AH40" s="510" t="str">
        <f>IF(AH32="","",IF(Setup!$L$4="Yes",$B$40*AH33,0))</f>
        <v/>
      </c>
      <c r="AI40" s="510" t="str">
        <f>IF(AI32="","",IF(Setup!$L$4="Yes",$B$40*AI33,0))</f>
        <v/>
      </c>
      <c r="AJ40" s="510" t="str">
        <f>IF(AJ32="","",IF(Setup!$L$4="Yes",$B$40*AJ33,0))</f>
        <v/>
      </c>
      <c r="AK40" s="510" t="str">
        <f>IF(AK32="","",IF(Setup!$L$4="Yes",$B$40*AK33,0))</f>
        <v/>
      </c>
      <c r="AL40" s="510" t="str">
        <f>IF(AL32="","",IF(Setup!$L$4="Yes",$B$40*AL33,0))</f>
        <v/>
      </c>
      <c r="AM40" s="510" t="str">
        <f>IF(AM32="","",IF(Setup!$L$4="Yes",$B$40*AM33,0))</f>
        <v/>
      </c>
      <c r="AN40" s="510" t="str">
        <f>IF(AN32="","",IF(Setup!$L$4="Yes",$B$40*AN33,0))</f>
        <v/>
      </c>
      <c r="AO40" s="510" t="str">
        <f>IF(AO32="","",IF(Setup!$L$4="Yes",$B$40*AO33,0))</f>
        <v/>
      </c>
      <c r="AP40" s="510" t="str">
        <f>IF(AP32="","",IF(Setup!$L$4="Yes",$B$40*AP33,0))</f>
        <v/>
      </c>
      <c r="AQ40" s="510" t="str">
        <f>IF(AQ32="","",IF(Setup!$L$4="Yes",$B$40*AQ33,0))</f>
        <v/>
      </c>
      <c r="AR40" s="510" t="str">
        <f>IF(AR32="","",IF(Setup!$L$4="Yes",$B$40*AR33,0))</f>
        <v/>
      </c>
      <c r="AS40" s="510" t="str">
        <f>IF(AS32="","",IF(Setup!$L$4="Yes",$B$40*AS33,0))</f>
        <v/>
      </c>
      <c r="AT40" s="510" t="str">
        <f>IF(AT32="","",IF(Setup!$L$4="Yes",$B$40*AT33,0))</f>
        <v/>
      </c>
      <c r="AU40" s="510" t="str">
        <f>IF(AU32="","",IF(Setup!$L$4="Yes",$B$40*AU33,0))</f>
        <v/>
      </c>
      <c r="AV40" s="510" t="str">
        <f>IF(AV32="","",IF(Setup!$L$4="Yes",$B$40*AV33,0))</f>
        <v/>
      </c>
      <c r="AW40" s="510" t="str">
        <f>IF(AW32="","",IF(Setup!$L$4="Yes",$B$40*AW33,0))</f>
        <v/>
      </c>
      <c r="AX40" s="510" t="str">
        <f>IF(AX32="","",IF(Setup!$L$4="Yes",$B$40*AX33,0))</f>
        <v/>
      </c>
      <c r="AY40" s="510" t="str">
        <f>IF(AY32="","",IF(Setup!$L$4="Yes",$B$40*AY33,0))</f>
        <v/>
      </c>
      <c r="AZ40" s="510" t="str">
        <f>IF(AZ32="","",IF(Setup!$L$4="Yes",$B$40*AZ33,0))</f>
        <v/>
      </c>
    </row>
    <row r="41" spans="1:225">
      <c r="A41" s="511" t="s">
        <v>904</v>
      </c>
      <c r="B41" s="1625">
        <f>-(Sources!K24-ABS('LIHTCs&amp;BLDGs'!B50))</f>
        <v>0</v>
      </c>
      <c r="C41" s="512">
        <f t="shared" ref="C41:AZ41" si="11">-(ABS($B$41)*C33)</f>
        <v>0</v>
      </c>
      <c r="D41" s="512">
        <f t="shared" si="11"/>
        <v>0</v>
      </c>
      <c r="E41" s="512">
        <f t="shared" si="11"/>
        <v>0</v>
      </c>
      <c r="F41" s="512">
        <f t="shared" si="11"/>
        <v>0</v>
      </c>
      <c r="G41" s="512">
        <f t="shared" si="11"/>
        <v>0</v>
      </c>
      <c r="H41" s="512">
        <f t="shared" si="11"/>
        <v>0</v>
      </c>
      <c r="I41" s="512">
        <f t="shared" si="11"/>
        <v>0</v>
      </c>
      <c r="J41" s="512">
        <f t="shared" si="11"/>
        <v>0</v>
      </c>
      <c r="K41" s="512">
        <f t="shared" si="11"/>
        <v>0</v>
      </c>
      <c r="L41" s="512">
        <f t="shared" si="11"/>
        <v>0</v>
      </c>
      <c r="M41" s="512">
        <f t="shared" si="11"/>
        <v>0</v>
      </c>
      <c r="N41" s="512">
        <f t="shared" si="11"/>
        <v>0</v>
      </c>
      <c r="O41" s="512">
        <f t="shared" si="11"/>
        <v>0</v>
      </c>
      <c r="P41" s="512">
        <f t="shared" si="11"/>
        <v>0</v>
      </c>
      <c r="Q41" s="512">
        <f t="shared" si="11"/>
        <v>0</v>
      </c>
      <c r="R41" s="512">
        <f t="shared" si="11"/>
        <v>0</v>
      </c>
      <c r="S41" s="512">
        <f t="shared" si="11"/>
        <v>0</v>
      </c>
      <c r="T41" s="512">
        <f t="shared" si="11"/>
        <v>0</v>
      </c>
      <c r="U41" s="512">
        <f t="shared" si="11"/>
        <v>0</v>
      </c>
      <c r="V41" s="512">
        <f t="shared" si="11"/>
        <v>0</v>
      </c>
      <c r="W41" s="512">
        <f t="shared" si="11"/>
        <v>0</v>
      </c>
      <c r="X41" s="512">
        <f t="shared" si="11"/>
        <v>0</v>
      </c>
      <c r="Y41" s="512">
        <f t="shared" si="11"/>
        <v>0</v>
      </c>
      <c r="Z41" s="512">
        <f t="shared" si="11"/>
        <v>0</v>
      </c>
      <c r="AA41" s="512">
        <f t="shared" si="11"/>
        <v>0</v>
      </c>
      <c r="AB41" s="512">
        <f t="shared" si="11"/>
        <v>0</v>
      </c>
      <c r="AC41" s="512">
        <f t="shared" si="11"/>
        <v>0</v>
      </c>
      <c r="AD41" s="512">
        <f t="shared" si="11"/>
        <v>0</v>
      </c>
      <c r="AE41" s="512">
        <f t="shared" si="11"/>
        <v>0</v>
      </c>
      <c r="AF41" s="512">
        <f t="shared" si="11"/>
        <v>0</v>
      </c>
      <c r="AG41" s="512">
        <f t="shared" si="11"/>
        <v>0</v>
      </c>
      <c r="AH41" s="512">
        <f t="shared" si="11"/>
        <v>0</v>
      </c>
      <c r="AI41" s="512">
        <f t="shared" si="11"/>
        <v>0</v>
      </c>
      <c r="AJ41" s="512">
        <f t="shared" si="11"/>
        <v>0</v>
      </c>
      <c r="AK41" s="512">
        <f t="shared" si="11"/>
        <v>0</v>
      </c>
      <c r="AL41" s="512">
        <f t="shared" si="11"/>
        <v>0</v>
      </c>
      <c r="AM41" s="512">
        <f t="shared" si="11"/>
        <v>0</v>
      </c>
      <c r="AN41" s="512">
        <f t="shared" si="11"/>
        <v>0</v>
      </c>
      <c r="AO41" s="512">
        <f t="shared" si="11"/>
        <v>0</v>
      </c>
      <c r="AP41" s="512">
        <f t="shared" si="11"/>
        <v>0</v>
      </c>
      <c r="AQ41" s="512">
        <f t="shared" si="11"/>
        <v>0</v>
      </c>
      <c r="AR41" s="512">
        <f t="shared" si="11"/>
        <v>0</v>
      </c>
      <c r="AS41" s="512">
        <f t="shared" si="11"/>
        <v>0</v>
      </c>
      <c r="AT41" s="512">
        <f t="shared" si="11"/>
        <v>0</v>
      </c>
      <c r="AU41" s="512">
        <f t="shared" si="11"/>
        <v>0</v>
      </c>
      <c r="AV41" s="512">
        <f t="shared" si="11"/>
        <v>0</v>
      </c>
      <c r="AW41" s="512">
        <f t="shared" si="11"/>
        <v>0</v>
      </c>
      <c r="AX41" s="512">
        <f t="shared" si="11"/>
        <v>0</v>
      </c>
      <c r="AY41" s="512">
        <f t="shared" si="11"/>
        <v>0</v>
      </c>
      <c r="AZ41" s="512">
        <f t="shared" si="11"/>
        <v>0</v>
      </c>
    </row>
    <row r="42" spans="1:225">
      <c r="A42" s="513" t="s">
        <v>905</v>
      </c>
      <c r="B42" s="1626">
        <f t="shared" ref="B42:AZ42" si="12">SUM(B39:B41)</f>
        <v>0</v>
      </c>
      <c r="C42" s="1627">
        <f t="shared" si="12"/>
        <v>0</v>
      </c>
      <c r="D42" s="1628">
        <f t="shared" si="12"/>
        <v>0</v>
      </c>
      <c r="E42" s="1628">
        <f t="shared" si="12"/>
        <v>0</v>
      </c>
      <c r="F42" s="1628">
        <f t="shared" si="12"/>
        <v>0</v>
      </c>
      <c r="G42" s="1628">
        <f t="shared" si="12"/>
        <v>0</v>
      </c>
      <c r="H42" s="1628">
        <f t="shared" si="12"/>
        <v>0</v>
      </c>
      <c r="I42" s="1628">
        <f t="shared" si="12"/>
        <v>0</v>
      </c>
      <c r="J42" s="1628">
        <f t="shared" si="12"/>
        <v>0</v>
      </c>
      <c r="K42" s="1628">
        <f t="shared" si="12"/>
        <v>0</v>
      </c>
      <c r="L42" s="1628">
        <f t="shared" si="12"/>
        <v>0</v>
      </c>
      <c r="M42" s="1628">
        <f t="shared" si="12"/>
        <v>0</v>
      </c>
      <c r="N42" s="1628">
        <f t="shared" si="12"/>
        <v>0</v>
      </c>
      <c r="O42" s="1628">
        <f t="shared" si="12"/>
        <v>0</v>
      </c>
      <c r="P42" s="1628">
        <f t="shared" si="12"/>
        <v>0</v>
      </c>
      <c r="Q42" s="1628">
        <f t="shared" si="12"/>
        <v>0</v>
      </c>
      <c r="R42" s="1628">
        <f t="shared" si="12"/>
        <v>0</v>
      </c>
      <c r="S42" s="1628">
        <f t="shared" si="12"/>
        <v>0</v>
      </c>
      <c r="T42" s="1628">
        <f t="shared" si="12"/>
        <v>0</v>
      </c>
      <c r="U42" s="1628">
        <f t="shared" si="12"/>
        <v>0</v>
      </c>
      <c r="V42" s="1628">
        <f t="shared" si="12"/>
        <v>0</v>
      </c>
      <c r="W42" s="1628">
        <f t="shared" si="12"/>
        <v>0</v>
      </c>
      <c r="X42" s="1628">
        <f t="shared" si="12"/>
        <v>0</v>
      </c>
      <c r="Y42" s="1628">
        <f t="shared" si="12"/>
        <v>0</v>
      </c>
      <c r="Z42" s="1628">
        <f t="shared" si="12"/>
        <v>0</v>
      </c>
      <c r="AA42" s="1628">
        <f t="shared" si="12"/>
        <v>0</v>
      </c>
      <c r="AB42" s="1628">
        <f t="shared" si="12"/>
        <v>0</v>
      </c>
      <c r="AC42" s="1628">
        <f t="shared" si="12"/>
        <v>0</v>
      </c>
      <c r="AD42" s="1628">
        <f t="shared" si="12"/>
        <v>0</v>
      </c>
      <c r="AE42" s="1628">
        <f t="shared" si="12"/>
        <v>0</v>
      </c>
      <c r="AF42" s="1628">
        <f t="shared" si="12"/>
        <v>0</v>
      </c>
      <c r="AG42" s="1628">
        <f t="shared" si="12"/>
        <v>0</v>
      </c>
      <c r="AH42" s="1628">
        <f t="shared" si="12"/>
        <v>0</v>
      </c>
      <c r="AI42" s="1628">
        <f t="shared" si="12"/>
        <v>0</v>
      </c>
      <c r="AJ42" s="1628">
        <f t="shared" si="12"/>
        <v>0</v>
      </c>
      <c r="AK42" s="1628">
        <f t="shared" si="12"/>
        <v>0</v>
      </c>
      <c r="AL42" s="1628">
        <f t="shared" si="12"/>
        <v>0</v>
      </c>
      <c r="AM42" s="1628">
        <f t="shared" si="12"/>
        <v>0</v>
      </c>
      <c r="AN42" s="1628">
        <f t="shared" si="12"/>
        <v>0</v>
      </c>
      <c r="AO42" s="1628">
        <f t="shared" si="12"/>
        <v>0</v>
      </c>
      <c r="AP42" s="1628">
        <f t="shared" si="12"/>
        <v>0</v>
      </c>
      <c r="AQ42" s="1628">
        <f t="shared" si="12"/>
        <v>0</v>
      </c>
      <c r="AR42" s="1628">
        <f t="shared" si="12"/>
        <v>0</v>
      </c>
      <c r="AS42" s="1628">
        <f t="shared" si="12"/>
        <v>0</v>
      </c>
      <c r="AT42" s="1628">
        <f t="shared" si="12"/>
        <v>0</v>
      </c>
      <c r="AU42" s="1628">
        <f t="shared" si="12"/>
        <v>0</v>
      </c>
      <c r="AV42" s="1628">
        <f t="shared" si="12"/>
        <v>0</v>
      </c>
      <c r="AW42" s="1628">
        <f t="shared" si="12"/>
        <v>0</v>
      </c>
      <c r="AX42" s="1628">
        <f t="shared" si="12"/>
        <v>0</v>
      </c>
      <c r="AY42" s="1628">
        <f t="shared" si="12"/>
        <v>0</v>
      </c>
      <c r="AZ42" s="1628">
        <f t="shared" si="12"/>
        <v>0</v>
      </c>
    </row>
    <row r="43" spans="1:225">
      <c r="A43" s="507" t="s">
        <v>906</v>
      </c>
      <c r="B43" s="1626">
        <f>SUM(C43:AZ43)</f>
        <v>0</v>
      </c>
      <c r="C43" s="1622" t="str">
        <f t="shared" ref="C43:AZ43" si="13">IF(C36="","",C42*C36)</f>
        <v/>
      </c>
      <c r="D43" s="1623" t="str">
        <f t="shared" si="13"/>
        <v/>
      </c>
      <c r="E43" s="1623" t="str">
        <f t="shared" si="13"/>
        <v/>
      </c>
      <c r="F43" s="1623" t="str">
        <f t="shared" si="13"/>
        <v/>
      </c>
      <c r="G43" s="1623" t="str">
        <f t="shared" si="13"/>
        <v/>
      </c>
      <c r="H43" s="1623" t="str">
        <f t="shared" si="13"/>
        <v/>
      </c>
      <c r="I43" s="1623" t="str">
        <f t="shared" si="13"/>
        <v/>
      </c>
      <c r="J43" s="1623" t="str">
        <f t="shared" si="13"/>
        <v/>
      </c>
      <c r="K43" s="1623" t="str">
        <f t="shared" si="13"/>
        <v/>
      </c>
      <c r="L43" s="1623" t="str">
        <f t="shared" si="13"/>
        <v/>
      </c>
      <c r="M43" s="1623" t="str">
        <f t="shared" si="13"/>
        <v/>
      </c>
      <c r="N43" s="1623" t="str">
        <f t="shared" si="13"/>
        <v/>
      </c>
      <c r="O43" s="1623" t="str">
        <f t="shared" si="13"/>
        <v/>
      </c>
      <c r="P43" s="1623" t="str">
        <f t="shared" si="13"/>
        <v/>
      </c>
      <c r="Q43" s="1623" t="str">
        <f t="shared" si="13"/>
        <v/>
      </c>
      <c r="R43" s="1623" t="str">
        <f t="shared" si="13"/>
        <v/>
      </c>
      <c r="S43" s="1623" t="str">
        <f t="shared" si="13"/>
        <v/>
      </c>
      <c r="T43" s="1623" t="str">
        <f t="shared" si="13"/>
        <v/>
      </c>
      <c r="U43" s="1623" t="str">
        <f t="shared" si="13"/>
        <v/>
      </c>
      <c r="V43" s="1623" t="str">
        <f t="shared" si="13"/>
        <v/>
      </c>
      <c r="W43" s="1623" t="str">
        <f t="shared" si="13"/>
        <v/>
      </c>
      <c r="X43" s="1623" t="str">
        <f t="shared" si="13"/>
        <v/>
      </c>
      <c r="Y43" s="1623" t="str">
        <f t="shared" si="13"/>
        <v/>
      </c>
      <c r="Z43" s="1623" t="str">
        <f t="shared" si="13"/>
        <v/>
      </c>
      <c r="AA43" s="1623" t="str">
        <f t="shared" si="13"/>
        <v/>
      </c>
      <c r="AB43" s="1623" t="str">
        <f t="shared" si="13"/>
        <v/>
      </c>
      <c r="AC43" s="1623" t="str">
        <f t="shared" si="13"/>
        <v/>
      </c>
      <c r="AD43" s="1623" t="str">
        <f t="shared" si="13"/>
        <v/>
      </c>
      <c r="AE43" s="1623" t="str">
        <f t="shared" si="13"/>
        <v/>
      </c>
      <c r="AF43" s="1623" t="str">
        <f t="shared" si="13"/>
        <v/>
      </c>
      <c r="AG43" s="1623" t="str">
        <f t="shared" si="13"/>
        <v/>
      </c>
      <c r="AH43" s="1623" t="str">
        <f t="shared" si="13"/>
        <v/>
      </c>
      <c r="AI43" s="1623" t="str">
        <f t="shared" si="13"/>
        <v/>
      </c>
      <c r="AJ43" s="1623" t="str">
        <f t="shared" si="13"/>
        <v/>
      </c>
      <c r="AK43" s="1623" t="str">
        <f t="shared" si="13"/>
        <v/>
      </c>
      <c r="AL43" s="1623" t="str">
        <f t="shared" si="13"/>
        <v/>
      </c>
      <c r="AM43" s="1623" t="str">
        <f t="shared" si="13"/>
        <v/>
      </c>
      <c r="AN43" s="1623" t="str">
        <f t="shared" si="13"/>
        <v/>
      </c>
      <c r="AO43" s="1623" t="str">
        <f t="shared" si="13"/>
        <v/>
      </c>
      <c r="AP43" s="1623" t="str">
        <f t="shared" si="13"/>
        <v/>
      </c>
      <c r="AQ43" s="1623" t="str">
        <f t="shared" si="13"/>
        <v/>
      </c>
      <c r="AR43" s="1623" t="str">
        <f t="shared" si="13"/>
        <v/>
      </c>
      <c r="AS43" s="1623" t="str">
        <f t="shared" si="13"/>
        <v/>
      </c>
      <c r="AT43" s="1623" t="str">
        <f t="shared" si="13"/>
        <v/>
      </c>
      <c r="AU43" s="1623" t="str">
        <f t="shared" si="13"/>
        <v/>
      </c>
      <c r="AV43" s="1623" t="str">
        <f t="shared" si="13"/>
        <v/>
      </c>
      <c r="AW43" s="1623" t="str">
        <f t="shared" si="13"/>
        <v/>
      </c>
      <c r="AX43" s="1623" t="str">
        <f t="shared" si="13"/>
        <v/>
      </c>
      <c r="AY43" s="1623" t="str">
        <f t="shared" si="13"/>
        <v/>
      </c>
      <c r="AZ43" s="1623" t="str">
        <f t="shared" si="13"/>
        <v/>
      </c>
    </row>
    <row r="44" spans="1:225" ht="13.5" thickBot="1">
      <c r="A44" s="514" t="s">
        <v>907</v>
      </c>
      <c r="B44" s="515">
        <f>Setup!L7</f>
        <v>3.1199999999999999E-2</v>
      </c>
      <c r="C44" s="516">
        <f>B44</f>
        <v>3.1199999999999999E-2</v>
      </c>
      <c r="D44" s="517" t="str">
        <f t="shared" ref="D44:AZ44" si="14">IF(D32="","",$C$44)</f>
        <v/>
      </c>
      <c r="E44" s="517" t="str">
        <f t="shared" si="14"/>
        <v/>
      </c>
      <c r="F44" s="517" t="str">
        <f t="shared" si="14"/>
        <v/>
      </c>
      <c r="G44" s="517" t="str">
        <f t="shared" si="14"/>
        <v/>
      </c>
      <c r="H44" s="517" t="str">
        <f t="shared" si="14"/>
        <v/>
      </c>
      <c r="I44" s="517" t="str">
        <f t="shared" si="14"/>
        <v/>
      </c>
      <c r="J44" s="517" t="str">
        <f t="shared" si="14"/>
        <v/>
      </c>
      <c r="K44" s="517" t="str">
        <f t="shared" si="14"/>
        <v/>
      </c>
      <c r="L44" s="517" t="str">
        <f t="shared" si="14"/>
        <v/>
      </c>
      <c r="M44" s="517" t="str">
        <f t="shared" si="14"/>
        <v/>
      </c>
      <c r="N44" s="517" t="str">
        <f t="shared" si="14"/>
        <v/>
      </c>
      <c r="O44" s="517" t="str">
        <f t="shared" si="14"/>
        <v/>
      </c>
      <c r="P44" s="517" t="str">
        <f t="shared" si="14"/>
        <v/>
      </c>
      <c r="Q44" s="517" t="str">
        <f t="shared" si="14"/>
        <v/>
      </c>
      <c r="R44" s="517" t="str">
        <f t="shared" si="14"/>
        <v/>
      </c>
      <c r="S44" s="517" t="str">
        <f t="shared" si="14"/>
        <v/>
      </c>
      <c r="T44" s="517" t="str">
        <f t="shared" si="14"/>
        <v/>
      </c>
      <c r="U44" s="517" t="str">
        <f t="shared" si="14"/>
        <v/>
      </c>
      <c r="V44" s="517" t="str">
        <f t="shared" si="14"/>
        <v/>
      </c>
      <c r="W44" s="517" t="str">
        <f t="shared" si="14"/>
        <v/>
      </c>
      <c r="X44" s="517" t="str">
        <f t="shared" si="14"/>
        <v/>
      </c>
      <c r="Y44" s="517" t="str">
        <f t="shared" si="14"/>
        <v/>
      </c>
      <c r="Z44" s="517" t="str">
        <f t="shared" si="14"/>
        <v/>
      </c>
      <c r="AA44" s="517" t="str">
        <f t="shared" si="14"/>
        <v/>
      </c>
      <c r="AB44" s="517" t="str">
        <f t="shared" si="14"/>
        <v/>
      </c>
      <c r="AC44" s="517" t="str">
        <f t="shared" si="14"/>
        <v/>
      </c>
      <c r="AD44" s="517" t="str">
        <f t="shared" si="14"/>
        <v/>
      </c>
      <c r="AE44" s="517" t="str">
        <f t="shared" si="14"/>
        <v/>
      </c>
      <c r="AF44" s="517" t="str">
        <f t="shared" si="14"/>
        <v/>
      </c>
      <c r="AG44" s="517" t="str">
        <f t="shared" si="14"/>
        <v/>
      </c>
      <c r="AH44" s="517" t="str">
        <f t="shared" si="14"/>
        <v/>
      </c>
      <c r="AI44" s="517" t="str">
        <f t="shared" si="14"/>
        <v/>
      </c>
      <c r="AJ44" s="517" t="str">
        <f t="shared" si="14"/>
        <v/>
      </c>
      <c r="AK44" s="517" t="str">
        <f t="shared" si="14"/>
        <v/>
      </c>
      <c r="AL44" s="517" t="str">
        <f t="shared" si="14"/>
        <v/>
      </c>
      <c r="AM44" s="517" t="str">
        <f t="shared" si="14"/>
        <v/>
      </c>
      <c r="AN44" s="517" t="str">
        <f t="shared" si="14"/>
        <v/>
      </c>
      <c r="AO44" s="517" t="str">
        <f t="shared" si="14"/>
        <v/>
      </c>
      <c r="AP44" s="517" t="str">
        <f t="shared" si="14"/>
        <v/>
      </c>
      <c r="AQ44" s="517" t="str">
        <f t="shared" si="14"/>
        <v/>
      </c>
      <c r="AR44" s="517" t="str">
        <f t="shared" si="14"/>
        <v/>
      </c>
      <c r="AS44" s="517" t="str">
        <f t="shared" si="14"/>
        <v/>
      </c>
      <c r="AT44" s="517" t="str">
        <f t="shared" si="14"/>
        <v/>
      </c>
      <c r="AU44" s="517" t="str">
        <f t="shared" si="14"/>
        <v/>
      </c>
      <c r="AV44" s="517" t="str">
        <f t="shared" si="14"/>
        <v/>
      </c>
      <c r="AW44" s="517" t="str">
        <f t="shared" si="14"/>
        <v/>
      </c>
      <c r="AX44" s="517" t="str">
        <f t="shared" si="14"/>
        <v/>
      </c>
      <c r="AY44" s="517" t="str">
        <f t="shared" si="14"/>
        <v/>
      </c>
      <c r="AZ44" s="517" t="str">
        <f t="shared" si="14"/>
        <v/>
      </c>
    </row>
    <row r="45" spans="1:225" ht="13.5" thickTop="1">
      <c r="A45" s="1629" t="s">
        <v>908</v>
      </c>
      <c r="B45" s="1630">
        <f>SUM(C45:AZ45)</f>
        <v>0</v>
      </c>
      <c r="C45" s="1631">
        <f>IF(C43&gt;0,IF(C36="",0,ROUND(C43*C44,0)),0)</f>
        <v>0</v>
      </c>
      <c r="D45" s="1631">
        <f t="shared" ref="D45:AZ45" si="15">IF(D43&gt;0,IF(D36="",0,ROUND(D43*D44,0)),0)</f>
        <v>0</v>
      </c>
      <c r="E45" s="1631">
        <f t="shared" si="15"/>
        <v>0</v>
      </c>
      <c r="F45" s="1631">
        <f t="shared" si="15"/>
        <v>0</v>
      </c>
      <c r="G45" s="1631">
        <f t="shared" si="15"/>
        <v>0</v>
      </c>
      <c r="H45" s="1631">
        <f t="shared" si="15"/>
        <v>0</v>
      </c>
      <c r="I45" s="1631">
        <f t="shared" si="15"/>
        <v>0</v>
      </c>
      <c r="J45" s="1631">
        <f t="shared" si="15"/>
        <v>0</v>
      </c>
      <c r="K45" s="1631">
        <f t="shared" si="15"/>
        <v>0</v>
      </c>
      <c r="L45" s="1631">
        <f t="shared" si="15"/>
        <v>0</v>
      </c>
      <c r="M45" s="1631">
        <f t="shared" si="15"/>
        <v>0</v>
      </c>
      <c r="N45" s="1631">
        <f t="shared" si="15"/>
        <v>0</v>
      </c>
      <c r="O45" s="1631">
        <f t="shared" si="15"/>
        <v>0</v>
      </c>
      <c r="P45" s="1631">
        <f t="shared" si="15"/>
        <v>0</v>
      </c>
      <c r="Q45" s="1631">
        <f t="shared" si="15"/>
        <v>0</v>
      </c>
      <c r="R45" s="1631">
        <f t="shared" si="15"/>
        <v>0</v>
      </c>
      <c r="S45" s="1631">
        <f t="shared" si="15"/>
        <v>0</v>
      </c>
      <c r="T45" s="1631">
        <f t="shared" si="15"/>
        <v>0</v>
      </c>
      <c r="U45" s="1631">
        <f t="shared" si="15"/>
        <v>0</v>
      </c>
      <c r="V45" s="1631">
        <f t="shared" si="15"/>
        <v>0</v>
      </c>
      <c r="W45" s="1631">
        <f t="shared" si="15"/>
        <v>0</v>
      </c>
      <c r="X45" s="1631">
        <f t="shared" si="15"/>
        <v>0</v>
      </c>
      <c r="Y45" s="1631">
        <f t="shared" si="15"/>
        <v>0</v>
      </c>
      <c r="Z45" s="1631">
        <f t="shared" si="15"/>
        <v>0</v>
      </c>
      <c r="AA45" s="1631">
        <f t="shared" si="15"/>
        <v>0</v>
      </c>
      <c r="AB45" s="1631">
        <f t="shared" si="15"/>
        <v>0</v>
      </c>
      <c r="AC45" s="1631">
        <f t="shared" si="15"/>
        <v>0</v>
      </c>
      <c r="AD45" s="1631">
        <f t="shared" si="15"/>
        <v>0</v>
      </c>
      <c r="AE45" s="1631">
        <f t="shared" si="15"/>
        <v>0</v>
      </c>
      <c r="AF45" s="1631">
        <f t="shared" si="15"/>
        <v>0</v>
      </c>
      <c r="AG45" s="1631">
        <f t="shared" si="15"/>
        <v>0</v>
      </c>
      <c r="AH45" s="1631">
        <f t="shared" si="15"/>
        <v>0</v>
      </c>
      <c r="AI45" s="1631">
        <f t="shared" si="15"/>
        <v>0</v>
      </c>
      <c r="AJ45" s="1631">
        <f t="shared" si="15"/>
        <v>0</v>
      </c>
      <c r="AK45" s="1631">
        <f t="shared" si="15"/>
        <v>0</v>
      </c>
      <c r="AL45" s="1631">
        <f t="shared" si="15"/>
        <v>0</v>
      </c>
      <c r="AM45" s="1631">
        <f t="shared" si="15"/>
        <v>0</v>
      </c>
      <c r="AN45" s="1631">
        <f t="shared" si="15"/>
        <v>0</v>
      </c>
      <c r="AO45" s="1631">
        <f t="shared" si="15"/>
        <v>0</v>
      </c>
      <c r="AP45" s="1631">
        <f t="shared" si="15"/>
        <v>0</v>
      </c>
      <c r="AQ45" s="1631">
        <f t="shared" si="15"/>
        <v>0</v>
      </c>
      <c r="AR45" s="1631">
        <f t="shared" si="15"/>
        <v>0</v>
      </c>
      <c r="AS45" s="1631">
        <f t="shared" si="15"/>
        <v>0</v>
      </c>
      <c r="AT45" s="1631">
        <f t="shared" si="15"/>
        <v>0</v>
      </c>
      <c r="AU45" s="1631">
        <f t="shared" si="15"/>
        <v>0</v>
      </c>
      <c r="AV45" s="1631">
        <f t="shared" si="15"/>
        <v>0</v>
      </c>
      <c r="AW45" s="1631">
        <f t="shared" si="15"/>
        <v>0</v>
      </c>
      <c r="AX45" s="1631">
        <f t="shared" si="15"/>
        <v>0</v>
      </c>
      <c r="AY45" s="1631">
        <f t="shared" si="15"/>
        <v>0</v>
      </c>
      <c r="AZ45" s="1631">
        <f t="shared" si="15"/>
        <v>0</v>
      </c>
    </row>
    <row r="46" spans="1:225" ht="9.75" customHeight="1">
      <c r="A46" s="1632"/>
      <c r="B46" s="1630"/>
      <c r="C46" s="1633"/>
      <c r="D46" s="1633"/>
      <c r="E46" s="1633"/>
      <c r="F46" s="1633"/>
      <c r="G46" s="1633"/>
      <c r="H46" s="1633"/>
      <c r="I46" s="1633"/>
      <c r="J46" s="1633"/>
      <c r="K46" s="1633"/>
      <c r="L46" s="1633"/>
      <c r="M46" s="1633"/>
      <c r="N46" s="1633"/>
      <c r="O46" s="1633"/>
      <c r="P46" s="1633"/>
      <c r="Q46" s="1633"/>
      <c r="R46" s="1633"/>
      <c r="S46" s="1633"/>
      <c r="T46" s="1633"/>
      <c r="U46" s="1633"/>
      <c r="V46" s="1633"/>
      <c r="W46" s="1633"/>
      <c r="X46" s="1633"/>
      <c r="Y46" s="1633"/>
      <c r="Z46" s="1633"/>
      <c r="AA46" s="1633"/>
      <c r="AB46" s="1633"/>
      <c r="AC46" s="1633"/>
      <c r="AD46" s="1633"/>
      <c r="AE46" s="1633"/>
      <c r="AF46" s="1633"/>
      <c r="AG46" s="1633"/>
      <c r="AH46" s="1633"/>
      <c r="AI46" s="1633"/>
      <c r="AJ46" s="1633"/>
      <c r="AK46" s="1633"/>
      <c r="AL46" s="1633"/>
      <c r="AM46" s="1633"/>
      <c r="AN46" s="1633"/>
      <c r="AO46" s="1633"/>
      <c r="AP46" s="1633"/>
      <c r="AQ46" s="1633"/>
      <c r="AR46" s="1633"/>
      <c r="AS46" s="1633"/>
      <c r="AT46" s="1633"/>
      <c r="AU46" s="1633"/>
      <c r="AV46" s="1633"/>
      <c r="AW46" s="1633"/>
      <c r="AX46" s="1633"/>
      <c r="AY46" s="1633"/>
      <c r="AZ46" s="1631"/>
    </row>
    <row r="47" spans="1:225" s="682" customFormat="1">
      <c r="A47" s="1634" t="s">
        <v>909</v>
      </c>
      <c r="B47" s="1635" t="str">
        <f>IF(Setup!$L$8="No","No LIHTCs","")</f>
        <v/>
      </c>
      <c r="C47" s="1636"/>
      <c r="D47" s="1604"/>
      <c r="E47" s="1604"/>
      <c r="F47" s="1604"/>
      <c r="G47" s="1604"/>
      <c r="H47" s="1604"/>
      <c r="I47" s="1604"/>
      <c r="J47" s="1604"/>
      <c r="K47" s="1604"/>
      <c r="L47" s="1604"/>
      <c r="M47" s="1604"/>
      <c r="N47" s="1604"/>
      <c r="O47" s="1604"/>
      <c r="P47" s="1604"/>
      <c r="Q47" s="1604"/>
      <c r="R47" s="1604"/>
      <c r="S47" s="1604"/>
      <c r="T47" s="1604"/>
      <c r="U47" s="1604"/>
      <c r="V47" s="1604"/>
      <c r="W47" s="1604"/>
      <c r="X47" s="1604"/>
      <c r="Y47" s="1604"/>
      <c r="Z47" s="1604"/>
      <c r="AA47" s="1604"/>
      <c r="AB47" s="1604"/>
      <c r="AC47" s="1604"/>
      <c r="AD47" s="1604"/>
      <c r="AE47" s="1604"/>
      <c r="AF47" s="1604"/>
      <c r="AG47" s="1604"/>
      <c r="AH47" s="1604"/>
      <c r="AI47" s="1604"/>
      <c r="AJ47" s="1604"/>
      <c r="AK47" s="1604"/>
      <c r="AL47" s="1604"/>
      <c r="AM47" s="1604"/>
      <c r="AN47" s="1604"/>
      <c r="AO47" s="1604"/>
      <c r="AP47" s="1604"/>
      <c r="AQ47" s="1604"/>
      <c r="AR47" s="1604"/>
      <c r="AS47" s="1604"/>
      <c r="AT47" s="1604"/>
      <c r="AU47" s="1604"/>
      <c r="AV47" s="1604"/>
      <c r="AW47" s="1604"/>
      <c r="AX47" s="1604"/>
      <c r="AY47" s="1604"/>
      <c r="AZ47" s="1619"/>
      <c r="BA47" s="1570"/>
      <c r="BB47" s="1570"/>
      <c r="BC47" s="1570"/>
      <c r="BD47" s="1570"/>
      <c r="BE47" s="1570"/>
      <c r="BF47" s="1570"/>
      <c r="BG47" s="1570"/>
      <c r="BH47" s="1570"/>
      <c r="BI47" s="1570"/>
      <c r="BJ47" s="1570"/>
      <c r="BK47" s="1570"/>
      <c r="BL47" s="1570"/>
      <c r="BM47" s="1570"/>
      <c r="BN47" s="1570"/>
      <c r="BO47" s="1570"/>
      <c r="BP47" s="1570"/>
      <c r="BQ47" s="1570"/>
      <c r="BR47" s="1570"/>
      <c r="BS47" s="1570"/>
      <c r="BT47" s="1570"/>
      <c r="BU47" s="1570"/>
      <c r="BV47" s="1570"/>
      <c r="BW47" s="1570"/>
      <c r="BX47" s="1570"/>
      <c r="BY47" s="1570"/>
      <c r="BZ47" s="1570"/>
      <c r="CA47" s="1570"/>
      <c r="CB47" s="1570"/>
      <c r="CC47" s="1570"/>
      <c r="CD47" s="1570"/>
      <c r="CE47" s="1570"/>
      <c r="CF47" s="1570"/>
      <c r="CG47" s="1570"/>
      <c r="CH47" s="1570"/>
      <c r="CI47" s="1570"/>
      <c r="CJ47" s="1570"/>
      <c r="CK47" s="1570"/>
      <c r="CL47" s="1570"/>
      <c r="CM47" s="1570"/>
      <c r="CN47" s="1570"/>
      <c r="CO47" s="1570"/>
      <c r="CP47" s="1570"/>
      <c r="CQ47" s="1570"/>
      <c r="CR47" s="1570"/>
      <c r="CS47" s="1570"/>
      <c r="CT47" s="1570"/>
      <c r="CU47" s="1570"/>
      <c r="CV47" s="1570"/>
      <c r="CW47" s="1570"/>
      <c r="CX47" s="1570"/>
      <c r="CY47" s="1570"/>
      <c r="CZ47" s="1570"/>
      <c r="DA47" s="1570"/>
      <c r="DB47" s="1570"/>
      <c r="DC47" s="1570"/>
      <c r="DD47" s="1570"/>
      <c r="DE47" s="1570"/>
      <c r="DF47" s="1570"/>
      <c r="DG47" s="1570"/>
      <c r="DH47" s="1570"/>
      <c r="DI47" s="1570"/>
      <c r="DJ47" s="1570"/>
      <c r="DK47" s="1570"/>
      <c r="DL47" s="1570"/>
      <c r="DM47" s="1570"/>
      <c r="DN47" s="1570"/>
      <c r="DO47" s="1570"/>
      <c r="DP47" s="1570"/>
      <c r="DQ47" s="1570"/>
      <c r="DR47" s="1570"/>
      <c r="DS47" s="1570"/>
      <c r="DT47" s="1570"/>
      <c r="DU47" s="1570"/>
      <c r="DV47" s="1570"/>
      <c r="DW47" s="1570"/>
      <c r="DX47" s="1570"/>
      <c r="DY47" s="1570"/>
      <c r="DZ47" s="1570"/>
      <c r="EA47" s="1570"/>
      <c r="EB47" s="1570"/>
      <c r="EC47" s="1570"/>
      <c r="ED47" s="1570"/>
      <c r="EE47" s="1570"/>
      <c r="EF47" s="1570"/>
      <c r="EG47" s="1570"/>
      <c r="EH47" s="1570"/>
      <c r="EI47" s="1570"/>
      <c r="EJ47" s="1570"/>
      <c r="EK47" s="1570"/>
      <c r="EL47" s="1570"/>
      <c r="EM47" s="1570"/>
      <c r="EN47" s="1570"/>
      <c r="EO47" s="1570"/>
      <c r="EP47" s="1570"/>
      <c r="EQ47" s="1570"/>
      <c r="ER47" s="1570"/>
      <c r="ES47" s="1570"/>
      <c r="ET47" s="1570"/>
      <c r="EU47" s="1570"/>
      <c r="EV47" s="1570"/>
      <c r="EW47" s="1570"/>
      <c r="EX47" s="1570"/>
      <c r="EY47" s="1570"/>
      <c r="EZ47" s="1570"/>
      <c r="FA47" s="1570"/>
      <c r="FB47" s="1570"/>
      <c r="FC47" s="1570"/>
      <c r="FD47" s="1570"/>
      <c r="FE47" s="1570"/>
      <c r="FF47" s="1570"/>
      <c r="FG47" s="1570"/>
      <c r="FH47" s="1570"/>
      <c r="FI47" s="1570"/>
      <c r="FJ47" s="1570"/>
      <c r="FK47" s="1570"/>
      <c r="FL47" s="1570"/>
      <c r="FM47" s="1570"/>
      <c r="FN47" s="1570"/>
      <c r="FO47" s="1570"/>
      <c r="FP47" s="1570"/>
      <c r="FQ47" s="1570"/>
      <c r="FR47" s="1570"/>
      <c r="FS47" s="1570"/>
      <c r="FT47" s="1570"/>
      <c r="FU47" s="1570"/>
      <c r="FV47" s="1570"/>
      <c r="FW47" s="1570"/>
      <c r="FX47" s="1570"/>
      <c r="FY47" s="1570"/>
      <c r="FZ47" s="1570"/>
      <c r="GA47" s="1570"/>
      <c r="GB47" s="1570"/>
      <c r="GC47" s="1570"/>
      <c r="GD47" s="1570"/>
      <c r="GE47" s="1570"/>
      <c r="GF47" s="1570"/>
      <c r="GG47" s="1570"/>
      <c r="GH47" s="1570"/>
      <c r="GI47" s="1570"/>
      <c r="GJ47" s="1570"/>
      <c r="GK47" s="1570"/>
      <c r="GL47" s="1570"/>
      <c r="GM47" s="1570"/>
      <c r="GN47" s="1570"/>
      <c r="GO47" s="1570"/>
      <c r="GP47" s="1570"/>
      <c r="GQ47" s="1570"/>
      <c r="GR47" s="1570"/>
      <c r="GS47" s="1570"/>
      <c r="GT47" s="1570"/>
      <c r="GU47" s="1570"/>
      <c r="GV47" s="1570"/>
      <c r="GW47" s="1570"/>
      <c r="GX47" s="1570"/>
      <c r="GY47" s="1570"/>
      <c r="GZ47" s="1570"/>
      <c r="HA47" s="1570"/>
      <c r="HB47" s="1570"/>
      <c r="HC47" s="1570"/>
      <c r="HD47" s="1570"/>
      <c r="HE47" s="1570"/>
      <c r="HF47" s="1570"/>
      <c r="HG47" s="1570"/>
      <c r="HH47" s="1570"/>
      <c r="HI47" s="1570"/>
      <c r="HJ47" s="1570"/>
      <c r="HK47" s="1570"/>
      <c r="HL47" s="1570"/>
      <c r="HM47" s="1570"/>
      <c r="HN47" s="1570"/>
      <c r="HO47" s="1570"/>
      <c r="HP47" s="1570"/>
      <c r="HQ47" s="1570"/>
    </row>
    <row r="48" spans="1:225" s="518" customFormat="1">
      <c r="A48" s="1637" t="s">
        <v>910</v>
      </c>
      <c r="B48" s="1626">
        <f ca="1">IF(Setup!L8="Yes",SUM(DevCosts!I133:K133)-SUM(DevCosts!I12:K12),0)</f>
        <v>0</v>
      </c>
      <c r="C48" s="1638">
        <f t="shared" ref="C48:AZ48" ca="1" si="16">$B$48*C33</f>
        <v>0</v>
      </c>
      <c r="D48" s="1639">
        <f t="shared" ca="1" si="16"/>
        <v>0</v>
      </c>
      <c r="E48" s="1639">
        <f t="shared" ca="1" si="16"/>
        <v>0</v>
      </c>
      <c r="F48" s="1639">
        <f t="shared" ca="1" si="16"/>
        <v>0</v>
      </c>
      <c r="G48" s="1639">
        <f t="shared" ca="1" si="16"/>
        <v>0</v>
      </c>
      <c r="H48" s="1639">
        <f t="shared" ca="1" si="16"/>
        <v>0</v>
      </c>
      <c r="I48" s="1639">
        <f t="shared" ca="1" si="16"/>
        <v>0</v>
      </c>
      <c r="J48" s="1639">
        <f t="shared" ca="1" si="16"/>
        <v>0</v>
      </c>
      <c r="K48" s="1639">
        <f t="shared" ca="1" si="16"/>
        <v>0</v>
      </c>
      <c r="L48" s="1639">
        <f t="shared" ca="1" si="16"/>
        <v>0</v>
      </c>
      <c r="M48" s="1639">
        <f t="shared" ca="1" si="16"/>
        <v>0</v>
      </c>
      <c r="N48" s="1639">
        <f t="shared" ca="1" si="16"/>
        <v>0</v>
      </c>
      <c r="O48" s="1639">
        <f t="shared" ca="1" si="16"/>
        <v>0</v>
      </c>
      <c r="P48" s="1639">
        <f t="shared" ca="1" si="16"/>
        <v>0</v>
      </c>
      <c r="Q48" s="1639">
        <f t="shared" ca="1" si="16"/>
        <v>0</v>
      </c>
      <c r="R48" s="1639">
        <f t="shared" ca="1" si="16"/>
        <v>0</v>
      </c>
      <c r="S48" s="1639">
        <f t="shared" ca="1" si="16"/>
        <v>0</v>
      </c>
      <c r="T48" s="1639">
        <f t="shared" ca="1" si="16"/>
        <v>0</v>
      </c>
      <c r="U48" s="1639">
        <f t="shared" ca="1" si="16"/>
        <v>0</v>
      </c>
      <c r="V48" s="1639">
        <f t="shared" ca="1" si="16"/>
        <v>0</v>
      </c>
      <c r="W48" s="1639">
        <f t="shared" ca="1" si="16"/>
        <v>0</v>
      </c>
      <c r="X48" s="1639">
        <f t="shared" ca="1" si="16"/>
        <v>0</v>
      </c>
      <c r="Y48" s="1639">
        <f t="shared" ca="1" si="16"/>
        <v>0</v>
      </c>
      <c r="Z48" s="1639">
        <f t="shared" ca="1" si="16"/>
        <v>0</v>
      </c>
      <c r="AA48" s="1639">
        <f t="shared" ca="1" si="16"/>
        <v>0</v>
      </c>
      <c r="AB48" s="1639">
        <f t="shared" ca="1" si="16"/>
        <v>0</v>
      </c>
      <c r="AC48" s="1639">
        <f t="shared" ca="1" si="16"/>
        <v>0</v>
      </c>
      <c r="AD48" s="1639">
        <f t="shared" ca="1" si="16"/>
        <v>0</v>
      </c>
      <c r="AE48" s="1639">
        <f t="shared" ca="1" si="16"/>
        <v>0</v>
      </c>
      <c r="AF48" s="1639">
        <f t="shared" ca="1" si="16"/>
        <v>0</v>
      </c>
      <c r="AG48" s="1639">
        <f t="shared" ca="1" si="16"/>
        <v>0</v>
      </c>
      <c r="AH48" s="1639">
        <f t="shared" ca="1" si="16"/>
        <v>0</v>
      </c>
      <c r="AI48" s="1639">
        <f t="shared" ca="1" si="16"/>
        <v>0</v>
      </c>
      <c r="AJ48" s="1639">
        <f t="shared" ca="1" si="16"/>
        <v>0</v>
      </c>
      <c r="AK48" s="1639">
        <f t="shared" ca="1" si="16"/>
        <v>0</v>
      </c>
      <c r="AL48" s="1639">
        <f t="shared" ca="1" si="16"/>
        <v>0</v>
      </c>
      <c r="AM48" s="1639">
        <f t="shared" ca="1" si="16"/>
        <v>0</v>
      </c>
      <c r="AN48" s="1639">
        <f t="shared" ca="1" si="16"/>
        <v>0</v>
      </c>
      <c r="AO48" s="1639">
        <f t="shared" ca="1" si="16"/>
        <v>0</v>
      </c>
      <c r="AP48" s="1639">
        <f t="shared" ca="1" si="16"/>
        <v>0</v>
      </c>
      <c r="AQ48" s="1639">
        <f t="shared" ca="1" si="16"/>
        <v>0</v>
      </c>
      <c r="AR48" s="1639">
        <f t="shared" ca="1" si="16"/>
        <v>0</v>
      </c>
      <c r="AS48" s="1639">
        <f t="shared" ca="1" si="16"/>
        <v>0</v>
      </c>
      <c r="AT48" s="1639">
        <f t="shared" ca="1" si="16"/>
        <v>0</v>
      </c>
      <c r="AU48" s="1639">
        <f t="shared" ca="1" si="16"/>
        <v>0</v>
      </c>
      <c r="AV48" s="1639">
        <f t="shared" ca="1" si="16"/>
        <v>0</v>
      </c>
      <c r="AW48" s="1639">
        <f t="shared" ca="1" si="16"/>
        <v>0</v>
      </c>
      <c r="AX48" s="1639">
        <f t="shared" ca="1" si="16"/>
        <v>0</v>
      </c>
      <c r="AY48" s="1639">
        <f t="shared" ca="1" si="16"/>
        <v>0</v>
      </c>
      <c r="AZ48" s="1639">
        <f t="shared" ca="1" si="16"/>
        <v>0</v>
      </c>
      <c r="BA48" s="1640"/>
      <c r="BB48" s="1640"/>
      <c r="BC48" s="1640"/>
      <c r="BD48" s="1640"/>
      <c r="BE48" s="1640"/>
      <c r="BF48" s="1640"/>
      <c r="BG48" s="1640"/>
      <c r="BH48" s="1640"/>
      <c r="BI48" s="1640"/>
      <c r="BJ48" s="1640"/>
      <c r="BK48" s="1640"/>
      <c r="BL48" s="1640"/>
      <c r="BM48" s="1640"/>
      <c r="BN48" s="1640"/>
      <c r="BO48" s="1640"/>
      <c r="BP48" s="1640"/>
      <c r="BQ48" s="1640"/>
      <c r="BR48" s="1640"/>
      <c r="BS48" s="1640"/>
      <c r="BT48" s="1640"/>
      <c r="BU48" s="1640"/>
      <c r="BV48" s="1640"/>
      <c r="BW48" s="1640"/>
      <c r="BX48" s="1640"/>
      <c r="BY48" s="1640"/>
      <c r="BZ48" s="1640"/>
      <c r="CA48" s="1640"/>
      <c r="CB48" s="1640"/>
      <c r="CC48" s="1640"/>
      <c r="CD48" s="1640"/>
      <c r="CE48" s="1640"/>
      <c r="CF48" s="1640"/>
      <c r="CG48" s="1640"/>
      <c r="CH48" s="1640"/>
      <c r="CI48" s="1640"/>
      <c r="CJ48" s="1640"/>
      <c r="CK48" s="1640"/>
      <c r="CL48" s="1640"/>
      <c r="CM48" s="1640"/>
      <c r="CN48" s="1640"/>
      <c r="CO48" s="1640"/>
      <c r="CP48" s="1640"/>
      <c r="CQ48" s="1640"/>
      <c r="CR48" s="1640"/>
      <c r="CS48" s="1640"/>
      <c r="CT48" s="1640"/>
      <c r="CU48" s="1640"/>
      <c r="CV48" s="1640"/>
      <c r="CW48" s="1640"/>
      <c r="CX48" s="1640"/>
      <c r="CY48" s="1640"/>
      <c r="CZ48" s="1640"/>
      <c r="DA48" s="1640"/>
      <c r="DB48" s="1640"/>
      <c r="DC48" s="1640"/>
      <c r="DD48" s="1640"/>
      <c r="DE48" s="1640"/>
      <c r="DF48" s="1640"/>
      <c r="DG48" s="1640"/>
      <c r="DH48" s="1640"/>
      <c r="DI48" s="1640"/>
      <c r="DJ48" s="1640"/>
      <c r="DK48" s="1640"/>
      <c r="DL48" s="1640"/>
      <c r="DM48" s="1640"/>
      <c r="DN48" s="1640"/>
      <c r="DO48" s="1640"/>
      <c r="DP48" s="1640"/>
      <c r="DQ48" s="1640"/>
      <c r="DR48" s="1640"/>
      <c r="DS48" s="1640"/>
      <c r="DT48" s="1640"/>
      <c r="DU48" s="1640"/>
      <c r="DV48" s="1640"/>
      <c r="DW48" s="1640"/>
      <c r="DX48" s="1640"/>
      <c r="DY48" s="1640"/>
      <c r="DZ48" s="1640"/>
      <c r="EA48" s="1640"/>
      <c r="EB48" s="1640"/>
      <c r="EC48" s="1640"/>
      <c r="ED48" s="1640"/>
      <c r="EE48" s="1640"/>
      <c r="EF48" s="1640"/>
      <c r="EG48" s="1640"/>
      <c r="EH48" s="1640"/>
      <c r="EI48" s="1640"/>
      <c r="EJ48" s="1640"/>
      <c r="EK48" s="1640"/>
      <c r="EL48" s="1640"/>
      <c r="EM48" s="1640"/>
      <c r="EN48" s="1640"/>
      <c r="EO48" s="1640"/>
      <c r="EP48" s="1640"/>
      <c r="EQ48" s="1640"/>
      <c r="ER48" s="1640"/>
      <c r="ES48" s="1640"/>
      <c r="ET48" s="1640"/>
      <c r="EU48" s="1640"/>
      <c r="EV48" s="1640"/>
      <c r="EW48" s="1640"/>
      <c r="EX48" s="1640"/>
      <c r="EY48" s="1640"/>
      <c r="EZ48" s="1640"/>
      <c r="FA48" s="1640"/>
      <c r="FB48" s="1640"/>
      <c r="FC48" s="1640"/>
      <c r="FD48" s="1640"/>
      <c r="FE48" s="1640"/>
      <c r="FF48" s="1640"/>
      <c r="FG48" s="1640"/>
      <c r="FH48" s="1640"/>
      <c r="FI48" s="1640"/>
      <c r="FJ48" s="1640"/>
      <c r="FK48" s="1640"/>
      <c r="FL48" s="1640"/>
      <c r="FM48" s="1640"/>
      <c r="FN48" s="1640"/>
      <c r="FO48" s="1640"/>
      <c r="FP48" s="1640"/>
      <c r="FQ48" s="1640"/>
      <c r="FR48" s="1640"/>
      <c r="FS48" s="1640"/>
      <c r="FT48" s="1640"/>
      <c r="FU48" s="1640"/>
      <c r="FV48" s="1640"/>
      <c r="FW48" s="1640"/>
      <c r="FX48" s="1640"/>
      <c r="FY48" s="1640"/>
      <c r="FZ48" s="1640"/>
      <c r="GA48" s="1640"/>
      <c r="GB48" s="1640"/>
      <c r="GC48" s="1640"/>
      <c r="GD48" s="1640"/>
      <c r="GE48" s="1640"/>
      <c r="GF48" s="1640"/>
      <c r="GG48" s="1640"/>
      <c r="GH48" s="1640"/>
      <c r="GI48" s="1640"/>
      <c r="GJ48" s="1640"/>
      <c r="GK48" s="1640"/>
      <c r="GL48" s="1640"/>
      <c r="GM48" s="1640"/>
      <c r="GN48" s="1640"/>
      <c r="GO48" s="1640"/>
      <c r="GP48" s="1640"/>
      <c r="GQ48" s="1640"/>
      <c r="GR48" s="1640"/>
      <c r="GS48" s="1640"/>
      <c r="GT48" s="1640"/>
      <c r="GU48" s="1640"/>
      <c r="GV48" s="1640"/>
      <c r="GW48" s="1640"/>
      <c r="GX48" s="1640"/>
      <c r="GY48" s="1640"/>
      <c r="GZ48" s="1640"/>
      <c r="HA48" s="1640"/>
      <c r="HB48" s="1640"/>
      <c r="HC48" s="1640"/>
      <c r="HD48" s="1640"/>
      <c r="HE48" s="1640"/>
      <c r="HF48" s="1640"/>
      <c r="HG48" s="1640"/>
      <c r="HH48" s="1640"/>
      <c r="HI48" s="1640"/>
      <c r="HJ48" s="1640"/>
      <c r="HK48" s="1640"/>
      <c r="HL48" s="1640"/>
      <c r="HM48" s="1640"/>
      <c r="HN48" s="1640"/>
      <c r="HO48" s="1640"/>
      <c r="HP48" s="1640"/>
      <c r="HQ48" s="1640"/>
    </row>
    <row r="49" spans="1:225">
      <c r="A49" s="507" t="s">
        <v>911</v>
      </c>
      <c r="B49" s="1630">
        <f ca="1">-1*(DevCosts!L133-DevCosts!L12)</f>
        <v>0</v>
      </c>
      <c r="C49" s="519">
        <f ca="1">$B$49*C33</f>
        <v>0</v>
      </c>
      <c r="D49" s="520">
        <f t="shared" ref="D49:AZ49" ca="1" si="17">$B$49*D33</f>
        <v>0</v>
      </c>
      <c r="E49" s="520">
        <f t="shared" ca="1" si="17"/>
        <v>0</v>
      </c>
      <c r="F49" s="520">
        <f t="shared" ca="1" si="17"/>
        <v>0</v>
      </c>
      <c r="G49" s="520">
        <f t="shared" ca="1" si="17"/>
        <v>0</v>
      </c>
      <c r="H49" s="520">
        <f t="shared" ca="1" si="17"/>
        <v>0</v>
      </c>
      <c r="I49" s="520">
        <f t="shared" ca="1" si="17"/>
        <v>0</v>
      </c>
      <c r="J49" s="520">
        <f t="shared" ca="1" si="17"/>
        <v>0</v>
      </c>
      <c r="K49" s="520">
        <f t="shared" ca="1" si="17"/>
        <v>0</v>
      </c>
      <c r="L49" s="520">
        <f t="shared" ca="1" si="17"/>
        <v>0</v>
      </c>
      <c r="M49" s="520">
        <f t="shared" ca="1" si="17"/>
        <v>0</v>
      </c>
      <c r="N49" s="520">
        <f t="shared" ca="1" si="17"/>
        <v>0</v>
      </c>
      <c r="O49" s="520">
        <f t="shared" ca="1" si="17"/>
        <v>0</v>
      </c>
      <c r="P49" s="520">
        <f t="shared" ca="1" si="17"/>
        <v>0</v>
      </c>
      <c r="Q49" s="520">
        <f t="shared" ca="1" si="17"/>
        <v>0</v>
      </c>
      <c r="R49" s="520">
        <f t="shared" ca="1" si="17"/>
        <v>0</v>
      </c>
      <c r="S49" s="520">
        <f t="shared" ca="1" si="17"/>
        <v>0</v>
      </c>
      <c r="T49" s="520">
        <f t="shared" ca="1" si="17"/>
        <v>0</v>
      </c>
      <c r="U49" s="520">
        <f t="shared" ca="1" si="17"/>
        <v>0</v>
      </c>
      <c r="V49" s="520">
        <f t="shared" ca="1" si="17"/>
        <v>0</v>
      </c>
      <c r="W49" s="520">
        <f t="shared" ca="1" si="17"/>
        <v>0</v>
      </c>
      <c r="X49" s="520">
        <f t="shared" ca="1" si="17"/>
        <v>0</v>
      </c>
      <c r="Y49" s="520">
        <f t="shared" ca="1" si="17"/>
        <v>0</v>
      </c>
      <c r="Z49" s="520">
        <f t="shared" ca="1" si="17"/>
        <v>0</v>
      </c>
      <c r="AA49" s="520">
        <f t="shared" ca="1" si="17"/>
        <v>0</v>
      </c>
      <c r="AB49" s="520">
        <f t="shared" ca="1" si="17"/>
        <v>0</v>
      </c>
      <c r="AC49" s="520">
        <f t="shared" ca="1" si="17"/>
        <v>0</v>
      </c>
      <c r="AD49" s="520">
        <f t="shared" ca="1" si="17"/>
        <v>0</v>
      </c>
      <c r="AE49" s="520">
        <f t="shared" ca="1" si="17"/>
        <v>0</v>
      </c>
      <c r="AF49" s="520">
        <f t="shared" ca="1" si="17"/>
        <v>0</v>
      </c>
      <c r="AG49" s="520">
        <f t="shared" ca="1" si="17"/>
        <v>0</v>
      </c>
      <c r="AH49" s="520">
        <f t="shared" ca="1" si="17"/>
        <v>0</v>
      </c>
      <c r="AI49" s="520">
        <f t="shared" ca="1" si="17"/>
        <v>0</v>
      </c>
      <c r="AJ49" s="520">
        <f t="shared" ca="1" si="17"/>
        <v>0</v>
      </c>
      <c r="AK49" s="520">
        <f t="shared" ca="1" si="17"/>
        <v>0</v>
      </c>
      <c r="AL49" s="520">
        <f t="shared" ca="1" si="17"/>
        <v>0</v>
      </c>
      <c r="AM49" s="520">
        <f t="shared" ca="1" si="17"/>
        <v>0</v>
      </c>
      <c r="AN49" s="520">
        <f t="shared" ca="1" si="17"/>
        <v>0</v>
      </c>
      <c r="AO49" s="520">
        <f t="shared" ca="1" si="17"/>
        <v>0</v>
      </c>
      <c r="AP49" s="520">
        <f t="shared" ca="1" si="17"/>
        <v>0</v>
      </c>
      <c r="AQ49" s="520">
        <f t="shared" ca="1" si="17"/>
        <v>0</v>
      </c>
      <c r="AR49" s="520">
        <f t="shared" ca="1" si="17"/>
        <v>0</v>
      </c>
      <c r="AS49" s="520">
        <f t="shared" ca="1" si="17"/>
        <v>0</v>
      </c>
      <c r="AT49" s="520">
        <f t="shared" ca="1" si="17"/>
        <v>0</v>
      </c>
      <c r="AU49" s="520">
        <f t="shared" ca="1" si="17"/>
        <v>0</v>
      </c>
      <c r="AV49" s="520">
        <f t="shared" ca="1" si="17"/>
        <v>0</v>
      </c>
      <c r="AW49" s="520">
        <f t="shared" ca="1" si="17"/>
        <v>0</v>
      </c>
      <c r="AX49" s="520">
        <f t="shared" ca="1" si="17"/>
        <v>0</v>
      </c>
      <c r="AY49" s="520">
        <f t="shared" ca="1" si="17"/>
        <v>0</v>
      </c>
      <c r="AZ49" s="520">
        <f t="shared" ca="1" si="17"/>
        <v>0</v>
      </c>
    </row>
    <row r="50" spans="1:225">
      <c r="A50" s="513" t="s">
        <v>904</v>
      </c>
      <c r="B50" s="1641">
        <f>IF(Setup!L8="No",0,-Sources!K24)</f>
        <v>0</v>
      </c>
      <c r="C50" s="521">
        <f>-1*ABS($B$50*C33)</f>
        <v>0</v>
      </c>
      <c r="D50" s="521">
        <f>-1*ABS($B$50*D33)</f>
        <v>0</v>
      </c>
      <c r="E50" s="521">
        <f t="shared" ref="E50:AZ50" si="18">-1*ABS($B$50*E33)</f>
        <v>0</v>
      </c>
      <c r="F50" s="521">
        <f t="shared" si="18"/>
        <v>0</v>
      </c>
      <c r="G50" s="521">
        <f t="shared" si="18"/>
        <v>0</v>
      </c>
      <c r="H50" s="521">
        <f t="shared" si="18"/>
        <v>0</v>
      </c>
      <c r="I50" s="521">
        <f t="shared" si="18"/>
        <v>0</v>
      </c>
      <c r="J50" s="521">
        <f t="shared" si="18"/>
        <v>0</v>
      </c>
      <c r="K50" s="521">
        <f t="shared" si="18"/>
        <v>0</v>
      </c>
      <c r="L50" s="521">
        <f t="shared" si="18"/>
        <v>0</v>
      </c>
      <c r="M50" s="521">
        <f t="shared" si="18"/>
        <v>0</v>
      </c>
      <c r="N50" s="521">
        <f t="shared" si="18"/>
        <v>0</v>
      </c>
      <c r="O50" s="521">
        <f t="shared" si="18"/>
        <v>0</v>
      </c>
      <c r="P50" s="521">
        <f t="shared" si="18"/>
        <v>0</v>
      </c>
      <c r="Q50" s="521">
        <f t="shared" si="18"/>
        <v>0</v>
      </c>
      <c r="R50" s="521">
        <f t="shared" si="18"/>
        <v>0</v>
      </c>
      <c r="S50" s="521">
        <f t="shared" si="18"/>
        <v>0</v>
      </c>
      <c r="T50" s="521">
        <f t="shared" si="18"/>
        <v>0</v>
      </c>
      <c r="U50" s="521">
        <f t="shared" si="18"/>
        <v>0</v>
      </c>
      <c r="V50" s="521">
        <f t="shared" si="18"/>
        <v>0</v>
      </c>
      <c r="W50" s="521">
        <f t="shared" si="18"/>
        <v>0</v>
      </c>
      <c r="X50" s="521">
        <f t="shared" si="18"/>
        <v>0</v>
      </c>
      <c r="Y50" s="521">
        <f t="shared" si="18"/>
        <v>0</v>
      </c>
      <c r="Z50" s="521">
        <f t="shared" si="18"/>
        <v>0</v>
      </c>
      <c r="AA50" s="521">
        <f t="shared" si="18"/>
        <v>0</v>
      </c>
      <c r="AB50" s="521">
        <f t="shared" si="18"/>
        <v>0</v>
      </c>
      <c r="AC50" s="521">
        <f t="shared" si="18"/>
        <v>0</v>
      </c>
      <c r="AD50" s="521">
        <f t="shared" si="18"/>
        <v>0</v>
      </c>
      <c r="AE50" s="521">
        <f t="shared" si="18"/>
        <v>0</v>
      </c>
      <c r="AF50" s="521">
        <f t="shared" si="18"/>
        <v>0</v>
      </c>
      <c r="AG50" s="521">
        <f t="shared" si="18"/>
        <v>0</v>
      </c>
      <c r="AH50" s="521">
        <f t="shared" si="18"/>
        <v>0</v>
      </c>
      <c r="AI50" s="521">
        <f t="shared" si="18"/>
        <v>0</v>
      </c>
      <c r="AJ50" s="521">
        <f t="shared" si="18"/>
        <v>0</v>
      </c>
      <c r="AK50" s="521">
        <f t="shared" si="18"/>
        <v>0</v>
      </c>
      <c r="AL50" s="521">
        <f t="shared" si="18"/>
        <v>0</v>
      </c>
      <c r="AM50" s="521">
        <f t="shared" si="18"/>
        <v>0</v>
      </c>
      <c r="AN50" s="521">
        <f t="shared" si="18"/>
        <v>0</v>
      </c>
      <c r="AO50" s="521">
        <f t="shared" si="18"/>
        <v>0</v>
      </c>
      <c r="AP50" s="521">
        <f t="shared" si="18"/>
        <v>0</v>
      </c>
      <c r="AQ50" s="521">
        <f t="shared" si="18"/>
        <v>0</v>
      </c>
      <c r="AR50" s="521">
        <f t="shared" si="18"/>
        <v>0</v>
      </c>
      <c r="AS50" s="521">
        <f t="shared" si="18"/>
        <v>0</v>
      </c>
      <c r="AT50" s="521">
        <f t="shared" si="18"/>
        <v>0</v>
      </c>
      <c r="AU50" s="521">
        <f t="shared" si="18"/>
        <v>0</v>
      </c>
      <c r="AV50" s="521">
        <f t="shared" si="18"/>
        <v>0</v>
      </c>
      <c r="AW50" s="521">
        <f t="shared" si="18"/>
        <v>0</v>
      </c>
      <c r="AX50" s="521">
        <f t="shared" si="18"/>
        <v>0</v>
      </c>
      <c r="AY50" s="521">
        <f t="shared" si="18"/>
        <v>0</v>
      </c>
      <c r="AZ50" s="521">
        <f t="shared" si="18"/>
        <v>0</v>
      </c>
      <c r="BA50" s="687"/>
    </row>
    <row r="51" spans="1:225">
      <c r="A51" s="513" t="s">
        <v>912</v>
      </c>
      <c r="B51" s="1630">
        <f>IF(B47="",-B75,0)</f>
        <v>0</v>
      </c>
      <c r="C51" s="521">
        <f t="shared" ref="C51:AZ51" si="19">$B$51*C33</f>
        <v>0</v>
      </c>
      <c r="D51" s="522">
        <f t="shared" si="19"/>
        <v>0</v>
      </c>
      <c r="E51" s="522">
        <f t="shared" si="19"/>
        <v>0</v>
      </c>
      <c r="F51" s="522">
        <f t="shared" si="19"/>
        <v>0</v>
      </c>
      <c r="G51" s="522">
        <f t="shared" si="19"/>
        <v>0</v>
      </c>
      <c r="H51" s="522">
        <f t="shared" si="19"/>
        <v>0</v>
      </c>
      <c r="I51" s="522">
        <f t="shared" si="19"/>
        <v>0</v>
      </c>
      <c r="J51" s="522">
        <f t="shared" si="19"/>
        <v>0</v>
      </c>
      <c r="K51" s="522">
        <f t="shared" si="19"/>
        <v>0</v>
      </c>
      <c r="L51" s="522">
        <f t="shared" si="19"/>
        <v>0</v>
      </c>
      <c r="M51" s="522">
        <f t="shared" si="19"/>
        <v>0</v>
      </c>
      <c r="N51" s="522">
        <f t="shared" si="19"/>
        <v>0</v>
      </c>
      <c r="O51" s="522">
        <f t="shared" si="19"/>
        <v>0</v>
      </c>
      <c r="P51" s="522">
        <f t="shared" si="19"/>
        <v>0</v>
      </c>
      <c r="Q51" s="522">
        <f t="shared" si="19"/>
        <v>0</v>
      </c>
      <c r="R51" s="522">
        <f t="shared" si="19"/>
        <v>0</v>
      </c>
      <c r="S51" s="522">
        <f t="shared" si="19"/>
        <v>0</v>
      </c>
      <c r="T51" s="522">
        <f t="shared" si="19"/>
        <v>0</v>
      </c>
      <c r="U51" s="522">
        <f t="shared" si="19"/>
        <v>0</v>
      </c>
      <c r="V51" s="522">
        <f t="shared" si="19"/>
        <v>0</v>
      </c>
      <c r="W51" s="522">
        <f t="shared" si="19"/>
        <v>0</v>
      </c>
      <c r="X51" s="522">
        <f t="shared" si="19"/>
        <v>0</v>
      </c>
      <c r="Y51" s="522">
        <f t="shared" si="19"/>
        <v>0</v>
      </c>
      <c r="Z51" s="522">
        <f t="shared" si="19"/>
        <v>0</v>
      </c>
      <c r="AA51" s="522">
        <f t="shared" si="19"/>
        <v>0</v>
      </c>
      <c r="AB51" s="522">
        <f t="shared" si="19"/>
        <v>0</v>
      </c>
      <c r="AC51" s="522">
        <f t="shared" si="19"/>
        <v>0</v>
      </c>
      <c r="AD51" s="522">
        <f t="shared" si="19"/>
        <v>0</v>
      </c>
      <c r="AE51" s="522">
        <f t="shared" si="19"/>
        <v>0</v>
      </c>
      <c r="AF51" s="522">
        <f t="shared" si="19"/>
        <v>0</v>
      </c>
      <c r="AG51" s="522">
        <f t="shared" si="19"/>
        <v>0</v>
      </c>
      <c r="AH51" s="522">
        <f t="shared" si="19"/>
        <v>0</v>
      </c>
      <c r="AI51" s="522">
        <f t="shared" si="19"/>
        <v>0</v>
      </c>
      <c r="AJ51" s="522">
        <f t="shared" si="19"/>
        <v>0</v>
      </c>
      <c r="AK51" s="522">
        <f t="shared" si="19"/>
        <v>0</v>
      </c>
      <c r="AL51" s="522">
        <f t="shared" si="19"/>
        <v>0</v>
      </c>
      <c r="AM51" s="522">
        <f t="shared" si="19"/>
        <v>0</v>
      </c>
      <c r="AN51" s="522">
        <f t="shared" si="19"/>
        <v>0</v>
      </c>
      <c r="AO51" s="522">
        <f t="shared" si="19"/>
        <v>0</v>
      </c>
      <c r="AP51" s="522">
        <f t="shared" si="19"/>
        <v>0</v>
      </c>
      <c r="AQ51" s="522">
        <f t="shared" si="19"/>
        <v>0</v>
      </c>
      <c r="AR51" s="522">
        <f t="shared" si="19"/>
        <v>0</v>
      </c>
      <c r="AS51" s="522">
        <f t="shared" si="19"/>
        <v>0</v>
      </c>
      <c r="AT51" s="522">
        <f t="shared" si="19"/>
        <v>0</v>
      </c>
      <c r="AU51" s="522">
        <f t="shared" si="19"/>
        <v>0</v>
      </c>
      <c r="AV51" s="522">
        <f t="shared" si="19"/>
        <v>0</v>
      </c>
      <c r="AW51" s="522">
        <f t="shared" si="19"/>
        <v>0</v>
      </c>
      <c r="AX51" s="522">
        <f t="shared" si="19"/>
        <v>0</v>
      </c>
      <c r="AY51" s="522">
        <f t="shared" si="19"/>
        <v>0</v>
      </c>
      <c r="AZ51" s="522">
        <f t="shared" si="19"/>
        <v>0</v>
      </c>
    </row>
    <row r="52" spans="1:225">
      <c r="A52" s="513" t="s">
        <v>913</v>
      </c>
      <c r="B52" s="1642">
        <f ca="1">DevCosts!T133</f>
        <v>0</v>
      </c>
      <c r="C52" s="521">
        <f t="shared" ref="C52:AZ52" ca="1" si="20">$B$52*C33</f>
        <v>0</v>
      </c>
      <c r="D52" s="522">
        <f t="shared" ca="1" si="20"/>
        <v>0</v>
      </c>
      <c r="E52" s="522">
        <f t="shared" ca="1" si="20"/>
        <v>0</v>
      </c>
      <c r="F52" s="522">
        <f t="shared" ca="1" si="20"/>
        <v>0</v>
      </c>
      <c r="G52" s="522">
        <f t="shared" ca="1" si="20"/>
        <v>0</v>
      </c>
      <c r="H52" s="522">
        <f t="shared" ca="1" si="20"/>
        <v>0</v>
      </c>
      <c r="I52" s="522">
        <f t="shared" ca="1" si="20"/>
        <v>0</v>
      </c>
      <c r="J52" s="522">
        <f t="shared" ca="1" si="20"/>
        <v>0</v>
      </c>
      <c r="K52" s="522">
        <f t="shared" ca="1" si="20"/>
        <v>0</v>
      </c>
      <c r="L52" s="522">
        <f t="shared" ca="1" si="20"/>
        <v>0</v>
      </c>
      <c r="M52" s="522">
        <f t="shared" ca="1" si="20"/>
        <v>0</v>
      </c>
      <c r="N52" s="522">
        <f t="shared" ca="1" si="20"/>
        <v>0</v>
      </c>
      <c r="O52" s="522">
        <f t="shared" ca="1" si="20"/>
        <v>0</v>
      </c>
      <c r="P52" s="522">
        <f t="shared" ca="1" si="20"/>
        <v>0</v>
      </c>
      <c r="Q52" s="522">
        <f t="shared" ca="1" si="20"/>
        <v>0</v>
      </c>
      <c r="R52" s="522">
        <f t="shared" ca="1" si="20"/>
        <v>0</v>
      </c>
      <c r="S52" s="522">
        <f t="shared" ca="1" si="20"/>
        <v>0</v>
      </c>
      <c r="T52" s="522">
        <f t="shared" ca="1" si="20"/>
        <v>0</v>
      </c>
      <c r="U52" s="522">
        <f t="shared" ca="1" si="20"/>
        <v>0</v>
      </c>
      <c r="V52" s="522">
        <f t="shared" ca="1" si="20"/>
        <v>0</v>
      </c>
      <c r="W52" s="522">
        <f t="shared" ca="1" si="20"/>
        <v>0</v>
      </c>
      <c r="X52" s="522">
        <f t="shared" ca="1" si="20"/>
        <v>0</v>
      </c>
      <c r="Y52" s="522">
        <f t="shared" ca="1" si="20"/>
        <v>0</v>
      </c>
      <c r="Z52" s="522">
        <f t="shared" ca="1" si="20"/>
        <v>0</v>
      </c>
      <c r="AA52" s="522">
        <f t="shared" ca="1" si="20"/>
        <v>0</v>
      </c>
      <c r="AB52" s="522">
        <f t="shared" ca="1" si="20"/>
        <v>0</v>
      </c>
      <c r="AC52" s="522">
        <f t="shared" ca="1" si="20"/>
        <v>0</v>
      </c>
      <c r="AD52" s="522">
        <f t="shared" ca="1" si="20"/>
        <v>0</v>
      </c>
      <c r="AE52" s="522">
        <f t="shared" ca="1" si="20"/>
        <v>0</v>
      </c>
      <c r="AF52" s="522">
        <f t="shared" ca="1" si="20"/>
        <v>0</v>
      </c>
      <c r="AG52" s="522">
        <f t="shared" ca="1" si="20"/>
        <v>0</v>
      </c>
      <c r="AH52" s="522">
        <f t="shared" ca="1" si="20"/>
        <v>0</v>
      </c>
      <c r="AI52" s="522">
        <f t="shared" ca="1" si="20"/>
        <v>0</v>
      </c>
      <c r="AJ52" s="522">
        <f t="shared" ca="1" si="20"/>
        <v>0</v>
      </c>
      <c r="AK52" s="522">
        <f t="shared" ca="1" si="20"/>
        <v>0</v>
      </c>
      <c r="AL52" s="522">
        <f t="shared" ca="1" si="20"/>
        <v>0</v>
      </c>
      <c r="AM52" s="522">
        <f t="shared" ca="1" si="20"/>
        <v>0</v>
      </c>
      <c r="AN52" s="522">
        <f t="shared" ca="1" si="20"/>
        <v>0</v>
      </c>
      <c r="AO52" s="522">
        <f t="shared" ca="1" si="20"/>
        <v>0</v>
      </c>
      <c r="AP52" s="522">
        <f t="shared" ca="1" si="20"/>
        <v>0</v>
      </c>
      <c r="AQ52" s="522">
        <f t="shared" ca="1" si="20"/>
        <v>0</v>
      </c>
      <c r="AR52" s="522">
        <f t="shared" ca="1" si="20"/>
        <v>0</v>
      </c>
      <c r="AS52" s="522">
        <f t="shared" ca="1" si="20"/>
        <v>0</v>
      </c>
      <c r="AT52" s="522">
        <f t="shared" ca="1" si="20"/>
        <v>0</v>
      </c>
      <c r="AU52" s="522">
        <f t="shared" ca="1" si="20"/>
        <v>0</v>
      </c>
      <c r="AV52" s="522">
        <f t="shared" ca="1" si="20"/>
        <v>0</v>
      </c>
      <c r="AW52" s="522">
        <f t="shared" ca="1" si="20"/>
        <v>0</v>
      </c>
      <c r="AX52" s="522">
        <f t="shared" ca="1" si="20"/>
        <v>0</v>
      </c>
      <c r="AY52" s="522">
        <f t="shared" ca="1" si="20"/>
        <v>0</v>
      </c>
      <c r="AZ52" s="522">
        <f t="shared" ca="1" si="20"/>
        <v>0</v>
      </c>
    </row>
    <row r="53" spans="1:225">
      <c r="A53" s="513" t="s">
        <v>914</v>
      </c>
      <c r="B53" s="1626">
        <f ca="1">SUM(C53:AZ53)</f>
        <v>0</v>
      </c>
      <c r="C53" s="521">
        <f ca="1">IF(SUM(C48:C52)&lt;0,0,SUM(C48:C52))</f>
        <v>0</v>
      </c>
      <c r="D53" s="521">
        <f t="shared" ref="D53:AZ53" ca="1" si="21">IF(SUM(D48:D52)&lt;0,0,SUM(D48:D52))</f>
        <v>0</v>
      </c>
      <c r="E53" s="521">
        <f t="shared" ca="1" si="21"/>
        <v>0</v>
      </c>
      <c r="F53" s="521">
        <f t="shared" ca="1" si="21"/>
        <v>0</v>
      </c>
      <c r="G53" s="521">
        <f t="shared" ca="1" si="21"/>
        <v>0</v>
      </c>
      <c r="H53" s="521">
        <f t="shared" ca="1" si="21"/>
        <v>0</v>
      </c>
      <c r="I53" s="521">
        <f t="shared" ca="1" si="21"/>
        <v>0</v>
      </c>
      <c r="J53" s="521">
        <f t="shared" ca="1" si="21"/>
        <v>0</v>
      </c>
      <c r="K53" s="521">
        <f t="shared" ca="1" si="21"/>
        <v>0</v>
      </c>
      <c r="L53" s="521">
        <f t="shared" ca="1" si="21"/>
        <v>0</v>
      </c>
      <c r="M53" s="521">
        <f t="shared" ca="1" si="21"/>
        <v>0</v>
      </c>
      <c r="N53" s="521">
        <f t="shared" ca="1" si="21"/>
        <v>0</v>
      </c>
      <c r="O53" s="521">
        <f t="shared" ca="1" si="21"/>
        <v>0</v>
      </c>
      <c r="P53" s="521">
        <f t="shared" ca="1" si="21"/>
        <v>0</v>
      </c>
      <c r="Q53" s="521">
        <f t="shared" ca="1" si="21"/>
        <v>0</v>
      </c>
      <c r="R53" s="521">
        <f t="shared" ca="1" si="21"/>
        <v>0</v>
      </c>
      <c r="S53" s="521">
        <f t="shared" ca="1" si="21"/>
        <v>0</v>
      </c>
      <c r="T53" s="521">
        <f t="shared" ca="1" si="21"/>
        <v>0</v>
      </c>
      <c r="U53" s="521">
        <f t="shared" ca="1" si="21"/>
        <v>0</v>
      </c>
      <c r="V53" s="521">
        <f t="shared" ca="1" si="21"/>
        <v>0</v>
      </c>
      <c r="W53" s="521">
        <f t="shared" ca="1" si="21"/>
        <v>0</v>
      </c>
      <c r="X53" s="521">
        <f t="shared" ca="1" si="21"/>
        <v>0</v>
      </c>
      <c r="Y53" s="521">
        <f t="shared" ca="1" si="21"/>
        <v>0</v>
      </c>
      <c r="Z53" s="521">
        <f t="shared" ca="1" si="21"/>
        <v>0</v>
      </c>
      <c r="AA53" s="521">
        <f t="shared" ca="1" si="21"/>
        <v>0</v>
      </c>
      <c r="AB53" s="521">
        <f t="shared" ca="1" si="21"/>
        <v>0</v>
      </c>
      <c r="AC53" s="521">
        <f t="shared" ca="1" si="21"/>
        <v>0</v>
      </c>
      <c r="AD53" s="521">
        <f t="shared" ca="1" si="21"/>
        <v>0</v>
      </c>
      <c r="AE53" s="521">
        <f t="shared" ca="1" si="21"/>
        <v>0</v>
      </c>
      <c r="AF53" s="521">
        <f t="shared" ca="1" si="21"/>
        <v>0</v>
      </c>
      <c r="AG53" s="521">
        <f t="shared" ca="1" si="21"/>
        <v>0</v>
      </c>
      <c r="AH53" s="521">
        <f t="shared" ca="1" si="21"/>
        <v>0</v>
      </c>
      <c r="AI53" s="521">
        <f t="shared" ca="1" si="21"/>
        <v>0</v>
      </c>
      <c r="AJ53" s="521">
        <f t="shared" ca="1" si="21"/>
        <v>0</v>
      </c>
      <c r="AK53" s="521">
        <f t="shared" ca="1" si="21"/>
        <v>0</v>
      </c>
      <c r="AL53" s="521">
        <f t="shared" ca="1" si="21"/>
        <v>0</v>
      </c>
      <c r="AM53" s="521">
        <f t="shared" ca="1" si="21"/>
        <v>0</v>
      </c>
      <c r="AN53" s="521">
        <f t="shared" ca="1" si="21"/>
        <v>0</v>
      </c>
      <c r="AO53" s="521">
        <f t="shared" ca="1" si="21"/>
        <v>0</v>
      </c>
      <c r="AP53" s="521">
        <f t="shared" ca="1" si="21"/>
        <v>0</v>
      </c>
      <c r="AQ53" s="521">
        <f t="shared" ca="1" si="21"/>
        <v>0</v>
      </c>
      <c r="AR53" s="521">
        <f t="shared" ca="1" si="21"/>
        <v>0</v>
      </c>
      <c r="AS53" s="521">
        <f t="shared" ca="1" si="21"/>
        <v>0</v>
      </c>
      <c r="AT53" s="521">
        <f t="shared" ca="1" si="21"/>
        <v>0</v>
      </c>
      <c r="AU53" s="521">
        <f t="shared" ca="1" si="21"/>
        <v>0</v>
      </c>
      <c r="AV53" s="521">
        <f t="shared" ca="1" si="21"/>
        <v>0</v>
      </c>
      <c r="AW53" s="521">
        <f t="shared" ca="1" si="21"/>
        <v>0</v>
      </c>
      <c r="AX53" s="521">
        <f t="shared" ca="1" si="21"/>
        <v>0</v>
      </c>
      <c r="AY53" s="521">
        <f t="shared" ca="1" si="21"/>
        <v>0</v>
      </c>
      <c r="AZ53" s="521">
        <f t="shared" ca="1" si="21"/>
        <v>0</v>
      </c>
    </row>
    <row r="54" spans="1:225">
      <c r="A54" s="503" t="s">
        <v>157</v>
      </c>
      <c r="B54" s="1643">
        <f>Setup!L11</f>
        <v>0.08</v>
      </c>
      <c r="C54" s="523">
        <f t="shared" ref="C54:AZ55" si="22">B54</f>
        <v>0.08</v>
      </c>
      <c r="D54" s="524">
        <f t="shared" si="22"/>
        <v>0.08</v>
      </c>
      <c r="E54" s="524">
        <f t="shared" si="22"/>
        <v>0.08</v>
      </c>
      <c r="F54" s="524">
        <f t="shared" si="22"/>
        <v>0.08</v>
      </c>
      <c r="G54" s="524">
        <f t="shared" si="22"/>
        <v>0.08</v>
      </c>
      <c r="H54" s="524">
        <f t="shared" si="22"/>
        <v>0.08</v>
      </c>
      <c r="I54" s="524">
        <f t="shared" si="22"/>
        <v>0.08</v>
      </c>
      <c r="J54" s="524">
        <f t="shared" si="22"/>
        <v>0.08</v>
      </c>
      <c r="K54" s="524">
        <f t="shared" si="22"/>
        <v>0.08</v>
      </c>
      <c r="L54" s="524">
        <f t="shared" si="22"/>
        <v>0.08</v>
      </c>
      <c r="M54" s="524">
        <f t="shared" si="22"/>
        <v>0.08</v>
      </c>
      <c r="N54" s="524">
        <f t="shared" si="22"/>
        <v>0.08</v>
      </c>
      <c r="O54" s="524">
        <f t="shared" si="22"/>
        <v>0.08</v>
      </c>
      <c r="P54" s="524">
        <f t="shared" si="22"/>
        <v>0.08</v>
      </c>
      <c r="Q54" s="524">
        <f t="shared" si="22"/>
        <v>0.08</v>
      </c>
      <c r="R54" s="524">
        <f t="shared" si="22"/>
        <v>0.08</v>
      </c>
      <c r="S54" s="524">
        <f t="shared" si="22"/>
        <v>0.08</v>
      </c>
      <c r="T54" s="524">
        <f t="shared" si="22"/>
        <v>0.08</v>
      </c>
      <c r="U54" s="524">
        <f t="shared" si="22"/>
        <v>0.08</v>
      </c>
      <c r="V54" s="524">
        <f t="shared" si="22"/>
        <v>0.08</v>
      </c>
      <c r="W54" s="524">
        <f t="shared" si="22"/>
        <v>0.08</v>
      </c>
      <c r="X54" s="524">
        <f t="shared" si="22"/>
        <v>0.08</v>
      </c>
      <c r="Y54" s="524">
        <f t="shared" si="22"/>
        <v>0.08</v>
      </c>
      <c r="Z54" s="524">
        <f t="shared" si="22"/>
        <v>0.08</v>
      </c>
      <c r="AA54" s="524">
        <f t="shared" si="22"/>
        <v>0.08</v>
      </c>
      <c r="AB54" s="524">
        <f t="shared" si="22"/>
        <v>0.08</v>
      </c>
      <c r="AC54" s="524">
        <f t="shared" si="22"/>
        <v>0.08</v>
      </c>
      <c r="AD54" s="524">
        <f t="shared" si="22"/>
        <v>0.08</v>
      </c>
      <c r="AE54" s="524">
        <f t="shared" si="22"/>
        <v>0.08</v>
      </c>
      <c r="AF54" s="524">
        <f t="shared" si="22"/>
        <v>0.08</v>
      </c>
      <c r="AG54" s="524">
        <f t="shared" si="22"/>
        <v>0.08</v>
      </c>
      <c r="AH54" s="524">
        <f t="shared" si="22"/>
        <v>0.08</v>
      </c>
      <c r="AI54" s="524">
        <f t="shared" si="22"/>
        <v>0.08</v>
      </c>
      <c r="AJ54" s="524">
        <f t="shared" si="22"/>
        <v>0.08</v>
      </c>
      <c r="AK54" s="524">
        <f t="shared" si="22"/>
        <v>0.08</v>
      </c>
      <c r="AL54" s="524">
        <f t="shared" si="22"/>
        <v>0.08</v>
      </c>
      <c r="AM54" s="524">
        <f t="shared" si="22"/>
        <v>0.08</v>
      </c>
      <c r="AN54" s="524">
        <f t="shared" si="22"/>
        <v>0.08</v>
      </c>
      <c r="AO54" s="524">
        <f t="shared" si="22"/>
        <v>0.08</v>
      </c>
      <c r="AP54" s="524">
        <f t="shared" si="22"/>
        <v>0.08</v>
      </c>
      <c r="AQ54" s="524">
        <f t="shared" si="22"/>
        <v>0.08</v>
      </c>
      <c r="AR54" s="524">
        <f t="shared" si="22"/>
        <v>0.08</v>
      </c>
      <c r="AS54" s="524">
        <f t="shared" si="22"/>
        <v>0.08</v>
      </c>
      <c r="AT54" s="524">
        <f t="shared" si="22"/>
        <v>0.08</v>
      </c>
      <c r="AU54" s="524">
        <f t="shared" si="22"/>
        <v>0.08</v>
      </c>
      <c r="AV54" s="524">
        <f t="shared" si="22"/>
        <v>0.08</v>
      </c>
      <c r="AW54" s="524">
        <f t="shared" si="22"/>
        <v>0.08</v>
      </c>
      <c r="AX54" s="524">
        <f t="shared" si="22"/>
        <v>0.08</v>
      </c>
      <c r="AY54" s="524">
        <f t="shared" si="22"/>
        <v>0.08</v>
      </c>
      <c r="AZ54" s="524">
        <f t="shared" si="22"/>
        <v>0.08</v>
      </c>
    </row>
    <row r="55" spans="1:225" ht="13.5" thickBot="1">
      <c r="A55" s="514" t="s">
        <v>154</v>
      </c>
      <c r="B55" s="1644" t="str">
        <f>Setup!L10</f>
        <v>No</v>
      </c>
      <c r="C55" s="525" t="str">
        <f t="shared" si="22"/>
        <v>No</v>
      </c>
      <c r="D55" s="526" t="str">
        <f t="shared" si="22"/>
        <v>No</v>
      </c>
      <c r="E55" s="526" t="str">
        <f t="shared" si="22"/>
        <v>No</v>
      </c>
      <c r="F55" s="526" t="str">
        <f t="shared" si="22"/>
        <v>No</v>
      </c>
      <c r="G55" s="526" t="str">
        <f t="shared" si="22"/>
        <v>No</v>
      </c>
      <c r="H55" s="526" t="str">
        <f t="shared" si="22"/>
        <v>No</v>
      </c>
      <c r="I55" s="526" t="str">
        <f t="shared" si="22"/>
        <v>No</v>
      </c>
      <c r="J55" s="526" t="str">
        <f t="shared" si="22"/>
        <v>No</v>
      </c>
      <c r="K55" s="526" t="str">
        <f t="shared" si="22"/>
        <v>No</v>
      </c>
      <c r="L55" s="526" t="str">
        <f t="shared" si="22"/>
        <v>No</v>
      </c>
      <c r="M55" s="526" t="str">
        <f t="shared" si="22"/>
        <v>No</v>
      </c>
      <c r="N55" s="526" t="str">
        <f t="shared" si="22"/>
        <v>No</v>
      </c>
      <c r="O55" s="526" t="str">
        <f t="shared" si="22"/>
        <v>No</v>
      </c>
      <c r="P55" s="526" t="str">
        <f t="shared" si="22"/>
        <v>No</v>
      </c>
      <c r="Q55" s="526" t="str">
        <f t="shared" si="22"/>
        <v>No</v>
      </c>
      <c r="R55" s="526" t="str">
        <f t="shared" si="22"/>
        <v>No</v>
      </c>
      <c r="S55" s="526" t="str">
        <f t="shared" si="22"/>
        <v>No</v>
      </c>
      <c r="T55" s="526" t="str">
        <f t="shared" si="22"/>
        <v>No</v>
      </c>
      <c r="U55" s="526" t="str">
        <f t="shared" si="22"/>
        <v>No</v>
      </c>
      <c r="V55" s="526" t="str">
        <f t="shared" si="22"/>
        <v>No</v>
      </c>
      <c r="W55" s="526" t="str">
        <f t="shared" si="22"/>
        <v>No</v>
      </c>
      <c r="X55" s="526" t="str">
        <f t="shared" si="22"/>
        <v>No</v>
      </c>
      <c r="Y55" s="526" t="str">
        <f t="shared" si="22"/>
        <v>No</v>
      </c>
      <c r="Z55" s="526" t="str">
        <f t="shared" si="22"/>
        <v>No</v>
      </c>
      <c r="AA55" s="526" t="str">
        <f t="shared" si="22"/>
        <v>No</v>
      </c>
      <c r="AB55" s="526" t="str">
        <f t="shared" si="22"/>
        <v>No</v>
      </c>
      <c r="AC55" s="526" t="str">
        <f t="shared" si="22"/>
        <v>No</v>
      </c>
      <c r="AD55" s="526" t="str">
        <f t="shared" si="22"/>
        <v>No</v>
      </c>
      <c r="AE55" s="526" t="str">
        <f t="shared" si="22"/>
        <v>No</v>
      </c>
      <c r="AF55" s="526" t="str">
        <f t="shared" si="22"/>
        <v>No</v>
      </c>
      <c r="AG55" s="526" t="str">
        <f t="shared" si="22"/>
        <v>No</v>
      </c>
      <c r="AH55" s="526" t="str">
        <f t="shared" si="22"/>
        <v>No</v>
      </c>
      <c r="AI55" s="526" t="str">
        <f t="shared" si="22"/>
        <v>No</v>
      </c>
      <c r="AJ55" s="526" t="str">
        <f t="shared" si="22"/>
        <v>No</v>
      </c>
      <c r="AK55" s="526" t="str">
        <f t="shared" si="22"/>
        <v>No</v>
      </c>
      <c r="AL55" s="526" t="str">
        <f t="shared" si="22"/>
        <v>No</v>
      </c>
      <c r="AM55" s="526" t="str">
        <f t="shared" si="22"/>
        <v>No</v>
      </c>
      <c r="AN55" s="526" t="str">
        <f t="shared" si="22"/>
        <v>No</v>
      </c>
      <c r="AO55" s="526" t="str">
        <f t="shared" si="22"/>
        <v>No</v>
      </c>
      <c r="AP55" s="526" t="str">
        <f t="shared" si="22"/>
        <v>No</v>
      </c>
      <c r="AQ55" s="526" t="str">
        <f t="shared" si="22"/>
        <v>No</v>
      </c>
      <c r="AR55" s="526" t="str">
        <f t="shared" si="22"/>
        <v>No</v>
      </c>
      <c r="AS55" s="526" t="str">
        <f t="shared" si="22"/>
        <v>No</v>
      </c>
      <c r="AT55" s="526" t="str">
        <f t="shared" si="22"/>
        <v>No</v>
      </c>
      <c r="AU55" s="526" t="str">
        <f t="shared" si="22"/>
        <v>No</v>
      </c>
      <c r="AV55" s="526" t="str">
        <f t="shared" si="22"/>
        <v>No</v>
      </c>
      <c r="AW55" s="526" t="str">
        <f t="shared" si="22"/>
        <v>No</v>
      </c>
      <c r="AX55" s="526" t="str">
        <f t="shared" si="22"/>
        <v>No</v>
      </c>
      <c r="AY55" s="526" t="str">
        <f t="shared" si="22"/>
        <v>No</v>
      </c>
      <c r="AZ55" s="526" t="str">
        <f t="shared" si="22"/>
        <v>No</v>
      </c>
    </row>
    <row r="56" spans="1:225" s="288" customFormat="1" ht="26.25" thickTop="1">
      <c r="A56" s="1629" t="s">
        <v>915</v>
      </c>
      <c r="B56" s="1630">
        <f>SUM(C56:AZ56)</f>
        <v>0</v>
      </c>
      <c r="C56" s="1645">
        <f>IF(C36="",0,IF('Units&amp;Income'!$G$94=0,0,IF(C53=0,0,IF(C55="No",C54*C53*C36,C36*C53*C54*1.3))))</f>
        <v>0</v>
      </c>
      <c r="D56" s="1645">
        <f>IF(D36="",0,IF('Units&amp;Income'!$G$94=0,0,IF(D53=0,0,IF(D55="No",D54*D53*D36,D36*D53*D54*1.3))))</f>
        <v>0</v>
      </c>
      <c r="E56" s="1645">
        <f>IF(E36="",0,IF('Units&amp;Income'!$G$94=0,0,IF(E53=0,0,IF(E55="No",E54*E53*E36,E36*E53*E54*1.3))))</f>
        <v>0</v>
      </c>
      <c r="F56" s="1645">
        <f>IF(F36="",0,IF('Units&amp;Income'!$G$94=0,0,IF(F53=0,0,IF(F55="No",F54*F53*F36,F36*F53*F54*1.3))))</f>
        <v>0</v>
      </c>
      <c r="G56" s="1645">
        <f>IF(G36="",0,IF('Units&amp;Income'!$G$94=0,0,IF(G53=0,0,IF(G55="No",G54*G53*G36,G36*G53*G54*1.3))))</f>
        <v>0</v>
      </c>
      <c r="H56" s="1645">
        <f>IF(H36="",0,IF('Units&amp;Income'!$G$94=0,0,IF(H53=0,0,IF(H55="No",H54*H53*H36,H36*H53*H54*1.3))))</f>
        <v>0</v>
      </c>
      <c r="I56" s="1645">
        <f>IF(I36="",0,IF('Units&amp;Income'!$G$94=0,0,IF(I53=0,0,IF(I55="No",I54*I53*I36,I36*I53*I54*1.3))))</f>
        <v>0</v>
      </c>
      <c r="J56" s="1645">
        <f>IF(J36="",0,IF('Units&amp;Income'!$G$94=0,0,IF(J53=0,0,IF(J55="No",J54*J53*J36,J36*J53*J54*1.3))))</f>
        <v>0</v>
      </c>
      <c r="K56" s="1645">
        <f>IF(K36="",0,IF('Units&amp;Income'!$G$94=0,0,IF(K53=0,0,IF(K55="No",K54*K53*K36,K36*K53*K54*1.3))))</f>
        <v>0</v>
      </c>
      <c r="L56" s="1645">
        <f>IF(L36="",0,IF('Units&amp;Income'!$G$94=0,0,IF(L53=0,0,IF(L55="No",L54*L53*L36,L36*L53*L54*1.3))))</f>
        <v>0</v>
      </c>
      <c r="M56" s="1645">
        <f>IF(M36="",0,IF('Units&amp;Income'!$G$94=0,0,IF(M53=0,0,IF(M55="No",M54*M53*M36,M36*M53*M54*1.3))))</f>
        <v>0</v>
      </c>
      <c r="N56" s="1645">
        <f>IF(N36="",0,IF('Units&amp;Income'!$G$94=0,0,IF(N53=0,0,IF(N55="No",N54*N53*N36,N36*N53*N54*1.3))))</f>
        <v>0</v>
      </c>
      <c r="O56" s="1645">
        <f>IF(O36="",0,IF('Units&amp;Income'!$G$94=0,0,IF(O53=0,0,IF(O55="No",O54*O53*O36,O36*O53*O54*1.3))))</f>
        <v>0</v>
      </c>
      <c r="P56" s="1645">
        <f>IF(P36="",0,IF('Units&amp;Income'!$G$94=0,0,IF(P53=0,0,IF(P55="No",P54*P53*P36,P36*P53*P54*1.3))))</f>
        <v>0</v>
      </c>
      <c r="Q56" s="1645">
        <f>IF(Q36="",0,IF('Units&amp;Income'!$G$94=0,0,IF(Q53=0,0,IF(Q55="No",Q54*Q53*Q36,Q36*Q53*Q54*1.3))))</f>
        <v>0</v>
      </c>
      <c r="R56" s="1645">
        <f>IF(R36="",0,IF('Units&amp;Income'!$G$94=0,0,IF(R53=0,0,IF(R55="No",R54*R53*R36,R36*R53*R54*1.3))))</f>
        <v>0</v>
      </c>
      <c r="S56" s="1645">
        <f>IF(S36="",0,IF('Units&amp;Income'!$G$94=0,0,IF(S53=0,0,IF(S55="No",S54*S53*S36,S36*S53*S54*1.3))))</f>
        <v>0</v>
      </c>
      <c r="T56" s="1645">
        <f>IF(T36="",0,IF('Units&amp;Income'!$G$94=0,0,IF(T53=0,0,IF(T55="No",T54*T53*T36,T36*T53*T54*1.3))))</f>
        <v>0</v>
      </c>
      <c r="U56" s="1645">
        <f>IF(U36="",0,IF('Units&amp;Income'!$G$94=0,0,IF(U53=0,0,IF(U55="No",U54*U53*U36,U36*U53*U54*1.3))))</f>
        <v>0</v>
      </c>
      <c r="V56" s="1645">
        <f>IF(V36="",0,IF('Units&amp;Income'!$G$94=0,0,IF(V53=0,0,IF(V55="No",V54*V53*V36,V36*V53*V54*1.3))))</f>
        <v>0</v>
      </c>
      <c r="W56" s="1645">
        <f>IF(W36="",0,IF('Units&amp;Income'!$G$94=0,0,IF(W53=0,0,IF(W55="No",W54*W53*W36,W36*W53*W54*1.3))))</f>
        <v>0</v>
      </c>
      <c r="X56" s="1645">
        <f>IF(X36="",0,IF('Units&amp;Income'!$G$94=0,0,IF(X53=0,0,IF(X55="No",X54*X53*X36,X36*X53*X54*1.3))))</f>
        <v>0</v>
      </c>
      <c r="Y56" s="1645">
        <f>IF(Y36="",0,IF('Units&amp;Income'!$G$94=0,0,IF(Y53=0,0,IF(Y55="No",Y54*Y53*Y36,Y36*Y53*Y54*1.3))))</f>
        <v>0</v>
      </c>
      <c r="Z56" s="1645">
        <f>IF(Z36="",0,IF('Units&amp;Income'!$G$94=0,0,IF(Z53=0,0,IF(Z55="No",Z54*Z53*Z36,Z36*Z53*Z54*1.3))))</f>
        <v>0</v>
      </c>
      <c r="AA56" s="1645">
        <f>IF(AA36="",0,IF('Units&amp;Income'!$G$94=0,0,IF(AA53=0,0,IF(AA55="No",AA54*AA53*AA36,AA36*AA53*AA54*1.3))))</f>
        <v>0</v>
      </c>
      <c r="AB56" s="1645">
        <f>IF(AB36="",0,IF('Units&amp;Income'!$G$94=0,0,IF(AB53=0,0,IF(AB55="No",AB54*AB53*AB36,AB36*AB53*AB54*1.3))))</f>
        <v>0</v>
      </c>
      <c r="AC56" s="1645">
        <f>IF(AC36="",0,IF('Units&amp;Income'!$G$94=0,0,IF(AC53=0,0,IF(AC55="No",AC54*AC53*AC36,AC36*AC53*AC54*1.3))))</f>
        <v>0</v>
      </c>
      <c r="AD56" s="1645">
        <f>IF(AD36="",0,IF('Units&amp;Income'!$G$94=0,0,IF(AD53=0,0,IF(AD55="No",AD54*AD53*AD36,AD36*AD53*AD54*1.3))))</f>
        <v>0</v>
      </c>
      <c r="AE56" s="1645">
        <f>IF(AE36="",0,IF('Units&amp;Income'!$G$94=0,0,IF(AE53=0,0,IF(AE55="No",AE54*AE53*AE36,AE36*AE53*AE54*1.3))))</f>
        <v>0</v>
      </c>
      <c r="AF56" s="1645">
        <f>IF(AF36="",0,IF('Units&amp;Income'!$G$94=0,0,IF(AF53=0,0,IF(AF55="No",AF54*AF53*AF36,AF36*AF53*AF54*1.3))))</f>
        <v>0</v>
      </c>
      <c r="AG56" s="1645">
        <f>IF(AG36="",0,IF('Units&amp;Income'!$G$94=0,0,IF(AG53=0,0,IF(AG55="No",AG54*AG53*AG36,AG36*AG53*AG54*1.3))))</f>
        <v>0</v>
      </c>
      <c r="AH56" s="1645">
        <f>IF(AH36="",0,IF('Units&amp;Income'!$G$94=0,0,IF(AH53=0,0,IF(AH55="No",AH54*AH53*AH36,AH36*AH53*AH54*1.3))))</f>
        <v>0</v>
      </c>
      <c r="AI56" s="1645">
        <f>IF(AI36="",0,IF('Units&amp;Income'!$G$94=0,0,IF(AI53=0,0,IF(AI55="No",AI54*AI53*AI36,AI36*AI53*AI54*1.3))))</f>
        <v>0</v>
      </c>
      <c r="AJ56" s="1645">
        <f>IF(AJ36="",0,IF('Units&amp;Income'!$G$94=0,0,IF(AJ53=0,0,IF(AJ55="No",AJ54*AJ53*AJ36,AJ36*AJ53*AJ54*1.3))))</f>
        <v>0</v>
      </c>
      <c r="AK56" s="1645">
        <f>IF(AK36="",0,IF('Units&amp;Income'!$G$94=0,0,IF(AK53=0,0,IF(AK55="No",AK54*AK53*AK36,AK36*AK53*AK54*1.3))))</f>
        <v>0</v>
      </c>
      <c r="AL56" s="1645">
        <f>IF(AL36="",0,IF('Units&amp;Income'!$G$94=0,0,IF(AL53=0,0,IF(AL55="No",AL54*AL53*AL36,AL36*AL53*AL54*1.3))))</f>
        <v>0</v>
      </c>
      <c r="AM56" s="1645">
        <f>IF(AM36="",0,IF('Units&amp;Income'!$G$94=0,0,IF(AM53=0,0,IF(AM55="No",AM54*AM53*AM36,AM36*AM53*AM54*1.3))))</f>
        <v>0</v>
      </c>
      <c r="AN56" s="1645">
        <f>IF(AN36="",0,IF('Units&amp;Income'!$G$94=0,0,IF(AN53=0,0,IF(AN55="No",AN54*AN53*AN36,AN36*AN53*AN54*1.3))))</f>
        <v>0</v>
      </c>
      <c r="AO56" s="1645">
        <f>IF(AO36="",0,IF('Units&amp;Income'!$G$94=0,0,IF(AO53=0,0,IF(AO55="No",AO54*AO53*AO36,AO36*AO53*AO54*1.3))))</f>
        <v>0</v>
      </c>
      <c r="AP56" s="1645">
        <f>IF(AP36="",0,IF('Units&amp;Income'!$G$94=0,0,IF(AP53=0,0,IF(AP55="No",AP54*AP53*AP36,AP36*AP53*AP54*1.3))))</f>
        <v>0</v>
      </c>
      <c r="AQ56" s="1645">
        <f>IF(AQ36="",0,IF('Units&amp;Income'!$G$94=0,0,IF(AQ53=0,0,IF(AQ55="No",AQ54*AQ53*AQ36,AQ36*AQ53*AQ54*1.3))))</f>
        <v>0</v>
      </c>
      <c r="AR56" s="1645">
        <f>IF(AR36="",0,IF('Units&amp;Income'!$G$94=0,0,IF(AR53=0,0,IF(AR55="No",AR54*AR53*AR36,AR36*AR53*AR54*1.3))))</f>
        <v>0</v>
      </c>
      <c r="AS56" s="1645">
        <f>IF(AS36="",0,IF('Units&amp;Income'!$G$94=0,0,IF(AS53=0,0,IF(AS55="No",AS54*AS53*AS36,AS36*AS53*AS54*1.3))))</f>
        <v>0</v>
      </c>
      <c r="AT56" s="1645">
        <f>IF(AT36="",0,IF('Units&amp;Income'!$G$94=0,0,IF(AT53=0,0,IF(AT55="No",AT54*AT53*AT36,AT36*AT53*AT54*1.3))))</f>
        <v>0</v>
      </c>
      <c r="AU56" s="1645">
        <f>IF(AU36="",0,IF('Units&amp;Income'!$G$94=0,0,IF(AU53=0,0,IF(AU55="No",AU54*AU53*AU36,AU36*AU53*AU54*1.3))))</f>
        <v>0</v>
      </c>
      <c r="AV56" s="1645">
        <f>IF(AV36="",0,IF('Units&amp;Income'!$G$94=0,0,IF(AV53=0,0,IF(AV55="No",AV54*AV53*AV36,AV36*AV53*AV54*1.3))))</f>
        <v>0</v>
      </c>
      <c r="AW56" s="1645">
        <f>IF(AW36="",0,IF('Units&amp;Income'!$G$94=0,0,IF(AW53=0,0,IF(AW55="No",AW54*AW53*AW36,AW36*AW53*AW54*1.3))))</f>
        <v>0</v>
      </c>
      <c r="AX56" s="1645">
        <f>IF(AX36="",0,IF('Units&amp;Income'!$G$94=0,0,IF(AX53=0,0,IF(AX55="No",AX54*AX53*AX36,AX36*AX53*AX54*1.3))))</f>
        <v>0</v>
      </c>
      <c r="AY56" s="1645">
        <f>IF(AY36="",0,IF('Units&amp;Income'!$G$94=0,0,IF(AY53=0,0,IF(AY55="No",AY54*AY53*AY36,AY36*AY53*AY54*1.3))))</f>
        <v>0</v>
      </c>
      <c r="AZ56" s="1645">
        <f>IF(AZ36="",0,IF('Units&amp;Income'!$G$94=0,0,IF(AZ53=0,0,IF(AZ55="No",AZ54*AZ53*AZ36,AZ36*AZ53*AZ54*1.3))))</f>
        <v>0</v>
      </c>
      <c r="BA56" s="1570"/>
      <c r="BB56" s="1570"/>
      <c r="BC56" s="1570"/>
      <c r="BD56" s="1570"/>
      <c r="BE56" s="1570"/>
      <c r="BF56" s="1570"/>
      <c r="BG56" s="1570"/>
      <c r="BH56" s="1570"/>
      <c r="BI56" s="1570"/>
      <c r="BJ56" s="1570"/>
      <c r="BK56" s="1570"/>
      <c r="BL56" s="1570"/>
      <c r="BM56" s="1570"/>
      <c r="BN56" s="1570"/>
      <c r="BO56" s="1570"/>
      <c r="BP56" s="1570"/>
      <c r="BQ56" s="1570"/>
      <c r="BR56" s="1570"/>
      <c r="BS56" s="1570"/>
      <c r="BT56" s="1570"/>
      <c r="BU56" s="1570"/>
      <c r="BV56" s="1570"/>
      <c r="BW56" s="1570"/>
      <c r="BX56" s="1570"/>
      <c r="BY56" s="1570"/>
      <c r="BZ56" s="1570"/>
      <c r="CA56" s="1570"/>
      <c r="CB56" s="1570"/>
      <c r="CC56" s="1570"/>
      <c r="CD56" s="1570"/>
      <c r="CE56" s="1570"/>
      <c r="CF56" s="1570"/>
      <c r="CG56" s="1570"/>
      <c r="CH56" s="1570"/>
      <c r="CI56" s="1570"/>
      <c r="CJ56" s="1570"/>
      <c r="CK56" s="1570"/>
      <c r="CL56" s="1570"/>
      <c r="CM56" s="1570"/>
      <c r="CN56" s="1570"/>
      <c r="CO56" s="1570"/>
      <c r="CP56" s="1570"/>
      <c r="CQ56" s="1570"/>
      <c r="CR56" s="1570"/>
      <c r="CS56" s="1570"/>
      <c r="CT56" s="1570"/>
      <c r="CU56" s="1570"/>
      <c r="CV56" s="1570"/>
      <c r="CW56" s="1570"/>
      <c r="CX56" s="1570"/>
      <c r="CY56" s="1570"/>
      <c r="CZ56" s="1570"/>
      <c r="DA56" s="1570"/>
      <c r="DB56" s="1570"/>
      <c r="DC56" s="1570"/>
      <c r="DD56" s="1570"/>
      <c r="DE56" s="1570"/>
      <c r="DF56" s="1570"/>
      <c r="DG56" s="1570"/>
      <c r="DH56" s="1570"/>
      <c r="DI56" s="1570"/>
      <c r="DJ56" s="1570"/>
      <c r="DK56" s="1570"/>
      <c r="DL56" s="1570"/>
      <c r="DM56" s="1570"/>
      <c r="DN56" s="1570"/>
      <c r="DO56" s="1570"/>
      <c r="DP56" s="1570"/>
      <c r="DQ56" s="1570"/>
      <c r="DR56" s="1570"/>
      <c r="DS56" s="1570"/>
      <c r="DT56" s="1570"/>
      <c r="DU56" s="1570"/>
      <c r="DV56" s="1570"/>
      <c r="DW56" s="1570"/>
      <c r="DX56" s="1570"/>
      <c r="DY56" s="1570"/>
      <c r="DZ56" s="1570"/>
      <c r="EA56" s="1570"/>
      <c r="EB56" s="1570"/>
      <c r="EC56" s="1570"/>
      <c r="ED56" s="1570"/>
      <c r="EE56" s="1570"/>
      <c r="EF56" s="1570"/>
      <c r="EG56" s="1570"/>
      <c r="EH56" s="1570"/>
      <c r="EI56" s="1570"/>
      <c r="EJ56" s="1570"/>
      <c r="EK56" s="1570"/>
      <c r="EL56" s="1570"/>
      <c r="EM56" s="1570"/>
      <c r="EN56" s="1570"/>
      <c r="EO56" s="1570"/>
      <c r="EP56" s="1570"/>
      <c r="EQ56" s="1570"/>
      <c r="ER56" s="1570"/>
      <c r="ES56" s="1570"/>
      <c r="ET56" s="1570"/>
      <c r="EU56" s="1570"/>
      <c r="EV56" s="1570"/>
      <c r="EW56" s="1570"/>
      <c r="EX56" s="1570"/>
      <c r="EY56" s="1570"/>
      <c r="EZ56" s="1570"/>
      <c r="FA56" s="1570"/>
      <c r="FB56" s="1570"/>
      <c r="FC56" s="1570"/>
      <c r="FD56" s="1570"/>
      <c r="FE56" s="1570"/>
      <c r="FF56" s="1570"/>
      <c r="FG56" s="1570"/>
      <c r="FH56" s="1570"/>
      <c r="FI56" s="1570"/>
      <c r="FJ56" s="1570"/>
      <c r="FK56" s="1570"/>
      <c r="FL56" s="1570"/>
      <c r="FM56" s="1570"/>
      <c r="FN56" s="1570"/>
      <c r="FO56" s="1570"/>
      <c r="FP56" s="1570"/>
      <c r="FQ56" s="1570"/>
      <c r="FR56" s="1570"/>
      <c r="FS56" s="1570"/>
      <c r="FT56" s="1570"/>
      <c r="FU56" s="1570"/>
      <c r="FV56" s="1570"/>
      <c r="FW56" s="1570"/>
      <c r="FX56" s="1570"/>
      <c r="FY56" s="1570"/>
      <c r="FZ56" s="1570"/>
      <c r="GA56" s="1570"/>
      <c r="GB56" s="1570"/>
      <c r="GC56" s="1570"/>
      <c r="GD56" s="1570"/>
      <c r="GE56" s="1570"/>
      <c r="GF56" s="1570"/>
      <c r="GG56" s="1570"/>
      <c r="GH56" s="1570"/>
      <c r="GI56" s="1570"/>
      <c r="GJ56" s="1570"/>
      <c r="GK56" s="1570"/>
      <c r="GL56" s="1570"/>
      <c r="GM56" s="1570"/>
      <c r="GN56" s="1570"/>
      <c r="GO56" s="1570"/>
      <c r="GP56" s="1570"/>
      <c r="GQ56" s="1570"/>
      <c r="GR56" s="1570"/>
      <c r="GS56" s="1570"/>
      <c r="GT56" s="1570"/>
      <c r="GU56" s="1570"/>
      <c r="GV56" s="1570"/>
      <c r="GW56" s="1570"/>
      <c r="GX56" s="1570"/>
      <c r="GY56" s="1570"/>
      <c r="GZ56" s="1570"/>
      <c r="HA56" s="1570"/>
      <c r="HB56" s="1570"/>
      <c r="HC56" s="1570"/>
      <c r="HD56" s="1570"/>
      <c r="HE56" s="1570"/>
      <c r="HF56" s="1570"/>
      <c r="HG56" s="1570"/>
      <c r="HH56" s="1570"/>
      <c r="HI56" s="1570"/>
      <c r="HJ56" s="1570"/>
      <c r="HK56" s="1570"/>
      <c r="HL56" s="1570"/>
      <c r="HM56" s="1570"/>
      <c r="HN56" s="1570"/>
      <c r="HO56" s="1570"/>
      <c r="HP56" s="1570"/>
      <c r="HQ56" s="1570"/>
    </row>
    <row r="57" spans="1:225" s="288" customFormat="1">
      <c r="A57" s="1629"/>
      <c r="B57" s="1630"/>
      <c r="C57" s="1645"/>
      <c r="D57" s="1334"/>
      <c r="E57" s="1334"/>
      <c r="F57" s="1334"/>
      <c r="G57" s="1334"/>
      <c r="H57" s="1334"/>
      <c r="I57" s="1334"/>
      <c r="J57" s="1334"/>
      <c r="K57" s="1334"/>
      <c r="L57" s="1334"/>
      <c r="M57" s="1334"/>
      <c r="N57" s="1334"/>
      <c r="O57" s="1334"/>
      <c r="P57" s="1334"/>
      <c r="Q57" s="1334"/>
      <c r="R57" s="1334"/>
      <c r="S57" s="1334"/>
      <c r="T57" s="1334"/>
      <c r="U57" s="1334"/>
      <c r="V57" s="1334"/>
      <c r="W57" s="1334"/>
      <c r="X57" s="1334"/>
      <c r="Y57" s="1334"/>
      <c r="Z57" s="1334"/>
      <c r="AA57" s="1334"/>
      <c r="AB57" s="1334"/>
      <c r="AC57" s="1334"/>
      <c r="AD57" s="1334"/>
      <c r="AE57" s="1334"/>
      <c r="AF57" s="1334"/>
      <c r="AG57" s="1334"/>
      <c r="AH57" s="1334"/>
      <c r="AI57" s="1334"/>
      <c r="AJ57" s="1334"/>
      <c r="AK57" s="1334"/>
      <c r="AL57" s="1334"/>
      <c r="AM57" s="1334"/>
      <c r="AN57" s="1334"/>
      <c r="AO57" s="1334"/>
      <c r="AP57" s="1334"/>
      <c r="AQ57" s="1334"/>
      <c r="AR57" s="1334"/>
      <c r="AS57" s="1334"/>
      <c r="AT57" s="1334"/>
      <c r="AU57" s="1334"/>
      <c r="AV57" s="1334"/>
      <c r="AW57" s="1334"/>
      <c r="AX57" s="1334"/>
      <c r="AY57" s="1334"/>
      <c r="AZ57" s="1334"/>
      <c r="BA57" s="1570"/>
      <c r="BB57" s="1570"/>
      <c r="BC57" s="1570"/>
      <c r="BD57" s="1570"/>
      <c r="BE57" s="1570"/>
      <c r="BF57" s="1570"/>
      <c r="BG57" s="1570"/>
      <c r="BH57" s="1570"/>
      <c r="BI57" s="1570"/>
      <c r="BJ57" s="1570"/>
      <c r="BK57" s="1570"/>
      <c r="BL57" s="1570"/>
      <c r="BM57" s="1570"/>
      <c r="BN57" s="1570"/>
      <c r="BO57" s="1570"/>
      <c r="BP57" s="1570"/>
      <c r="BQ57" s="1570"/>
      <c r="BR57" s="1570"/>
      <c r="BS57" s="1570"/>
      <c r="BT57" s="1570"/>
      <c r="BU57" s="1570"/>
      <c r="BV57" s="1570"/>
      <c r="BW57" s="1570"/>
      <c r="BX57" s="1570"/>
      <c r="BY57" s="1570"/>
      <c r="BZ57" s="1570"/>
      <c r="CA57" s="1570"/>
      <c r="CB57" s="1570"/>
      <c r="CC57" s="1570"/>
      <c r="CD57" s="1570"/>
      <c r="CE57" s="1570"/>
      <c r="CF57" s="1570"/>
      <c r="CG57" s="1570"/>
      <c r="CH57" s="1570"/>
      <c r="CI57" s="1570"/>
      <c r="CJ57" s="1570"/>
      <c r="CK57" s="1570"/>
      <c r="CL57" s="1570"/>
      <c r="CM57" s="1570"/>
      <c r="CN57" s="1570"/>
      <c r="CO57" s="1570"/>
      <c r="CP57" s="1570"/>
      <c r="CQ57" s="1570"/>
      <c r="CR57" s="1570"/>
      <c r="CS57" s="1570"/>
      <c r="CT57" s="1570"/>
      <c r="CU57" s="1570"/>
      <c r="CV57" s="1570"/>
      <c r="CW57" s="1570"/>
      <c r="CX57" s="1570"/>
      <c r="CY57" s="1570"/>
      <c r="CZ57" s="1570"/>
      <c r="DA57" s="1570"/>
      <c r="DB57" s="1570"/>
      <c r="DC57" s="1570"/>
      <c r="DD57" s="1570"/>
      <c r="DE57" s="1570"/>
      <c r="DF57" s="1570"/>
      <c r="DG57" s="1570"/>
      <c r="DH57" s="1570"/>
      <c r="DI57" s="1570"/>
      <c r="DJ57" s="1570"/>
      <c r="DK57" s="1570"/>
      <c r="DL57" s="1570"/>
      <c r="DM57" s="1570"/>
      <c r="DN57" s="1570"/>
      <c r="DO57" s="1570"/>
      <c r="DP57" s="1570"/>
      <c r="DQ57" s="1570"/>
      <c r="DR57" s="1570"/>
      <c r="DS57" s="1570"/>
      <c r="DT57" s="1570"/>
      <c r="DU57" s="1570"/>
      <c r="DV57" s="1570"/>
      <c r="DW57" s="1570"/>
      <c r="DX57" s="1570"/>
      <c r="DY57" s="1570"/>
      <c r="DZ57" s="1570"/>
      <c r="EA57" s="1570"/>
      <c r="EB57" s="1570"/>
      <c r="EC57" s="1570"/>
      <c r="ED57" s="1570"/>
      <c r="EE57" s="1570"/>
      <c r="EF57" s="1570"/>
      <c r="EG57" s="1570"/>
      <c r="EH57" s="1570"/>
      <c r="EI57" s="1570"/>
      <c r="EJ57" s="1570"/>
      <c r="EK57" s="1570"/>
      <c r="EL57" s="1570"/>
      <c r="EM57" s="1570"/>
      <c r="EN57" s="1570"/>
      <c r="EO57" s="1570"/>
      <c r="EP57" s="1570"/>
      <c r="EQ57" s="1570"/>
      <c r="ER57" s="1570"/>
      <c r="ES57" s="1570"/>
      <c r="ET57" s="1570"/>
      <c r="EU57" s="1570"/>
      <c r="EV57" s="1570"/>
      <c r="EW57" s="1570"/>
      <c r="EX57" s="1570"/>
      <c r="EY57" s="1570"/>
      <c r="EZ57" s="1570"/>
      <c r="FA57" s="1570"/>
      <c r="FB57" s="1570"/>
      <c r="FC57" s="1570"/>
      <c r="FD57" s="1570"/>
      <c r="FE57" s="1570"/>
      <c r="FF57" s="1570"/>
      <c r="FG57" s="1570"/>
      <c r="FH57" s="1570"/>
      <c r="FI57" s="1570"/>
      <c r="FJ57" s="1570"/>
      <c r="FK57" s="1570"/>
      <c r="FL57" s="1570"/>
      <c r="FM57" s="1570"/>
      <c r="FN57" s="1570"/>
      <c r="FO57" s="1570"/>
      <c r="FP57" s="1570"/>
      <c r="FQ57" s="1570"/>
      <c r="FR57" s="1570"/>
      <c r="FS57" s="1570"/>
      <c r="FT57" s="1570"/>
      <c r="FU57" s="1570"/>
      <c r="FV57" s="1570"/>
      <c r="FW57" s="1570"/>
      <c r="FX57" s="1570"/>
      <c r="FY57" s="1570"/>
      <c r="FZ57" s="1570"/>
      <c r="GA57" s="1570"/>
      <c r="GB57" s="1570"/>
      <c r="GC57" s="1570"/>
      <c r="GD57" s="1570"/>
      <c r="GE57" s="1570"/>
      <c r="GF57" s="1570"/>
      <c r="GG57" s="1570"/>
      <c r="GH57" s="1570"/>
      <c r="GI57" s="1570"/>
      <c r="GJ57" s="1570"/>
      <c r="GK57" s="1570"/>
      <c r="GL57" s="1570"/>
      <c r="GM57" s="1570"/>
      <c r="GN57" s="1570"/>
      <c r="GO57" s="1570"/>
      <c r="GP57" s="1570"/>
      <c r="GQ57" s="1570"/>
      <c r="GR57" s="1570"/>
      <c r="GS57" s="1570"/>
      <c r="GT57" s="1570"/>
      <c r="GU57" s="1570"/>
      <c r="GV57" s="1570"/>
      <c r="GW57" s="1570"/>
      <c r="GX57" s="1570"/>
      <c r="GY57" s="1570"/>
      <c r="GZ57" s="1570"/>
      <c r="HA57" s="1570"/>
      <c r="HB57" s="1570"/>
      <c r="HC57" s="1570"/>
      <c r="HD57" s="1570"/>
      <c r="HE57" s="1570"/>
      <c r="HF57" s="1570"/>
      <c r="HG57" s="1570"/>
      <c r="HH57" s="1570"/>
      <c r="HI57" s="1570"/>
      <c r="HJ57" s="1570"/>
      <c r="HK57" s="1570"/>
      <c r="HL57" s="1570"/>
      <c r="HM57" s="1570"/>
      <c r="HN57" s="1570"/>
      <c r="HO57" s="1570"/>
      <c r="HP57" s="1570"/>
      <c r="HQ57" s="1570"/>
    </row>
    <row r="58" spans="1:225" s="683" customFormat="1">
      <c r="A58" s="1646" t="s">
        <v>916</v>
      </c>
      <c r="B58" s="1647">
        <f>ROUND(B56+B45,0)</f>
        <v>0</v>
      </c>
      <c r="C58" s="1622">
        <f>IF(Setup!$L$8="No",0,C56+C45)</f>
        <v>0</v>
      </c>
      <c r="D58" s="1622">
        <f>IF(Setup!$L$8="No",0,D56+D45)</f>
        <v>0</v>
      </c>
      <c r="E58" s="1622">
        <f>IF(Setup!$L$8="No",0,E56+E45)</f>
        <v>0</v>
      </c>
      <c r="F58" s="1622">
        <f>IF(Setup!$L$8="No",0,F56+F45)</f>
        <v>0</v>
      </c>
      <c r="G58" s="1622">
        <f>IF(Setup!$L$8="No",0,G56+G45)</f>
        <v>0</v>
      </c>
      <c r="H58" s="1622">
        <f>IF(Setup!$L$8="No",0,H56+H45)</f>
        <v>0</v>
      </c>
      <c r="I58" s="1622">
        <f>IF(Setup!$L$8="No",0,I56+I45)</f>
        <v>0</v>
      </c>
      <c r="J58" s="1622">
        <f>IF(Setup!$L$8="No",0,J56+J45)</f>
        <v>0</v>
      </c>
      <c r="K58" s="1622">
        <f>IF(Setup!$L$8="No",0,K56+K45)</f>
        <v>0</v>
      </c>
      <c r="L58" s="1622">
        <f>IF(Setup!$L$8="No",0,L56+L45)</f>
        <v>0</v>
      </c>
      <c r="M58" s="1622">
        <f>IF(Setup!$L$8="No",0,M56+M45)</f>
        <v>0</v>
      </c>
      <c r="N58" s="1622">
        <f>IF(Setup!$L$8="No",0,N56+N45)</f>
        <v>0</v>
      </c>
      <c r="O58" s="1622">
        <f>IF(Setup!$L$8="No",0,O56+O45)</f>
        <v>0</v>
      </c>
      <c r="P58" s="1622">
        <f>IF(Setup!$L$8="No",0,P56+P45)</f>
        <v>0</v>
      </c>
      <c r="Q58" s="1622">
        <f>IF(Setup!$L$8="No",0,Q56+Q45)</f>
        <v>0</v>
      </c>
      <c r="R58" s="1622">
        <f>IF(Setup!$L$8="No",0,R56+R45)</f>
        <v>0</v>
      </c>
      <c r="S58" s="1622">
        <f>IF(Setup!$L$8="No",0,S56+S45)</f>
        <v>0</v>
      </c>
      <c r="T58" s="1622">
        <f>IF(Setup!$L$8="No",0,T56+T45)</f>
        <v>0</v>
      </c>
      <c r="U58" s="1622">
        <f>IF(Setup!$L$8="No",0,U56+U45)</f>
        <v>0</v>
      </c>
      <c r="V58" s="1622">
        <f>IF(Setup!$L$8="No",0,V56+V45)</f>
        <v>0</v>
      </c>
      <c r="W58" s="1622">
        <f>IF(Setup!$L$8="No",0,W56+W45)</f>
        <v>0</v>
      </c>
      <c r="X58" s="1622">
        <f>IF(Setup!$L$8="No",0,X56+X45)</f>
        <v>0</v>
      </c>
      <c r="Y58" s="1622">
        <f>IF(Setup!$L$8="No",0,Y56+Y45)</f>
        <v>0</v>
      </c>
      <c r="Z58" s="1622">
        <f>IF(Setup!$L$8="No",0,Z56+Z45)</f>
        <v>0</v>
      </c>
      <c r="AA58" s="1622">
        <f>IF(Setup!$L$8="No",0,AA56+AA45)</f>
        <v>0</v>
      </c>
      <c r="AB58" s="1622">
        <f>IF(Setup!$L$8="No",0,AB56+AB45)</f>
        <v>0</v>
      </c>
      <c r="AC58" s="1622">
        <f>IF(Setup!$L$8="No",0,AC56+AC45)</f>
        <v>0</v>
      </c>
      <c r="AD58" s="1622">
        <f>IF(Setup!$L$8="No",0,AD56+AD45)</f>
        <v>0</v>
      </c>
      <c r="AE58" s="1622">
        <f>IF(Setup!$L$8="No",0,AE56+AE45)</f>
        <v>0</v>
      </c>
      <c r="AF58" s="1622">
        <f>IF(Setup!$L$8="No",0,AF56+AF45)</f>
        <v>0</v>
      </c>
      <c r="AG58" s="1622">
        <f>IF(Setup!$L$8="No",0,AG56+AG45)</f>
        <v>0</v>
      </c>
      <c r="AH58" s="1622">
        <f>IF(Setup!$L$8="No",0,AH56+AH45)</f>
        <v>0</v>
      </c>
      <c r="AI58" s="1622">
        <f>IF(Setup!$L$8="No",0,AI56+AI45)</f>
        <v>0</v>
      </c>
      <c r="AJ58" s="1622">
        <f>IF(Setup!$L$8="No",0,AJ56+AJ45)</f>
        <v>0</v>
      </c>
      <c r="AK58" s="1622">
        <f>IF(Setup!$L$8="No",0,AK56+AK45)</f>
        <v>0</v>
      </c>
      <c r="AL58" s="1622">
        <f>IF(Setup!$L$8="No",0,AL56+AL45)</f>
        <v>0</v>
      </c>
      <c r="AM58" s="1622">
        <f>IF(Setup!$L$8="No",0,AM56+AM45)</f>
        <v>0</v>
      </c>
      <c r="AN58" s="1622">
        <f>IF(Setup!$L$8="No",0,AN56+AN45)</f>
        <v>0</v>
      </c>
      <c r="AO58" s="1622">
        <f>IF(Setup!$L$8="No",0,AO56+AO45)</f>
        <v>0</v>
      </c>
      <c r="AP58" s="1622">
        <f>IF(Setup!$L$8="No",0,AP56+AP45)</f>
        <v>0</v>
      </c>
      <c r="AQ58" s="1622">
        <f>IF(Setup!$L$8="No",0,AQ56+AQ45)</f>
        <v>0</v>
      </c>
      <c r="AR58" s="1622">
        <f>IF(Setup!$L$8="No",0,AR56+AR45)</f>
        <v>0</v>
      </c>
      <c r="AS58" s="1622">
        <f>IF(Setup!$L$8="No",0,AS56+AS45)</f>
        <v>0</v>
      </c>
      <c r="AT58" s="1622">
        <f>IF(Setup!$L$8="No",0,AT56+AT45)</f>
        <v>0</v>
      </c>
      <c r="AU58" s="1622">
        <f>IF(Setup!$L$8="No",0,AU56+AU45)</f>
        <v>0</v>
      </c>
      <c r="AV58" s="1622">
        <f>IF(Setup!$L$8="No",0,AV56+AV45)</f>
        <v>0</v>
      </c>
      <c r="AW58" s="1622">
        <f>IF(Setup!$L$8="No",0,AW56+AW45)</f>
        <v>0</v>
      </c>
      <c r="AX58" s="1622">
        <f>IF(Setup!$L$8="No",0,AX56+AX45)</f>
        <v>0</v>
      </c>
      <c r="AY58" s="1622">
        <f>IF(Setup!$L$8="No",0,AY56+AY45)</f>
        <v>0</v>
      </c>
      <c r="AZ58" s="1622">
        <f>IF(Setup!$L$8="No",0,AZ56+AZ45)</f>
        <v>0</v>
      </c>
      <c r="BA58" s="1624"/>
      <c r="BB58" s="1624"/>
      <c r="BC58" s="1624"/>
      <c r="BD58" s="1624"/>
      <c r="BE58" s="1624"/>
      <c r="BF58" s="1624"/>
      <c r="BG58" s="1624"/>
      <c r="BH58" s="1624"/>
      <c r="BI58" s="1624"/>
      <c r="BJ58" s="1624"/>
      <c r="BK58" s="1624"/>
      <c r="BL58" s="1624"/>
      <c r="BM58" s="1624"/>
      <c r="BN58" s="1624"/>
      <c r="BO58" s="1624"/>
      <c r="BP58" s="1624"/>
      <c r="BQ58" s="1624"/>
      <c r="BR58" s="1624"/>
      <c r="BS58" s="1624"/>
      <c r="BT58" s="1624"/>
      <c r="BU58" s="1624"/>
      <c r="BV58" s="1624"/>
      <c r="BW58" s="1624"/>
      <c r="BX58" s="1624"/>
      <c r="BY58" s="1624"/>
      <c r="BZ58" s="1624"/>
      <c r="CA58" s="1624"/>
      <c r="CB58" s="1624"/>
      <c r="CC58" s="1624"/>
      <c r="CD58" s="1624"/>
      <c r="CE58" s="1624"/>
      <c r="CF58" s="1624"/>
      <c r="CG58" s="1624"/>
      <c r="CH58" s="1624"/>
      <c r="CI58" s="1624"/>
      <c r="CJ58" s="1624"/>
      <c r="CK58" s="1624"/>
      <c r="CL58" s="1624"/>
      <c r="CM58" s="1624"/>
      <c r="CN58" s="1624"/>
      <c r="CO58" s="1624"/>
      <c r="CP58" s="1624"/>
      <c r="CQ58" s="1624"/>
      <c r="CR58" s="1624"/>
      <c r="CS58" s="1624"/>
      <c r="CT58" s="1624"/>
      <c r="CU58" s="1624"/>
      <c r="CV58" s="1624"/>
      <c r="CW58" s="1624"/>
      <c r="CX58" s="1624"/>
      <c r="CY58" s="1624"/>
      <c r="CZ58" s="1624"/>
      <c r="DA58" s="1624"/>
      <c r="DB58" s="1624"/>
      <c r="DC58" s="1624"/>
      <c r="DD58" s="1624"/>
      <c r="DE58" s="1624"/>
      <c r="DF58" s="1624"/>
      <c r="DG58" s="1624"/>
      <c r="DH58" s="1624"/>
      <c r="DI58" s="1624"/>
      <c r="DJ58" s="1624"/>
      <c r="DK58" s="1624"/>
      <c r="DL58" s="1624"/>
      <c r="DM58" s="1624"/>
      <c r="DN58" s="1624"/>
      <c r="DO58" s="1624"/>
      <c r="DP58" s="1624"/>
      <c r="DQ58" s="1624"/>
      <c r="DR58" s="1624"/>
      <c r="DS58" s="1624"/>
      <c r="DT58" s="1624"/>
      <c r="DU58" s="1624"/>
      <c r="DV58" s="1624"/>
      <c r="DW58" s="1624"/>
      <c r="DX58" s="1624"/>
      <c r="DY58" s="1624"/>
      <c r="DZ58" s="1624"/>
      <c r="EA58" s="1624"/>
      <c r="EB58" s="1624"/>
      <c r="EC58" s="1624"/>
      <c r="ED58" s="1624"/>
      <c r="EE58" s="1624"/>
      <c r="EF58" s="1624"/>
      <c r="EG58" s="1624"/>
      <c r="EH58" s="1624"/>
      <c r="EI58" s="1624"/>
      <c r="EJ58" s="1624"/>
      <c r="EK58" s="1624"/>
      <c r="EL58" s="1624"/>
      <c r="EM58" s="1624"/>
      <c r="EN58" s="1624"/>
      <c r="EO58" s="1624"/>
      <c r="EP58" s="1624"/>
      <c r="EQ58" s="1624"/>
      <c r="ER58" s="1624"/>
      <c r="ES58" s="1624"/>
      <c r="ET58" s="1624"/>
      <c r="EU58" s="1624"/>
      <c r="EV58" s="1624"/>
      <c r="EW58" s="1624"/>
      <c r="EX58" s="1624"/>
      <c r="EY58" s="1624"/>
      <c r="EZ58" s="1624"/>
      <c r="FA58" s="1624"/>
      <c r="FB58" s="1624"/>
      <c r="FC58" s="1624"/>
      <c r="FD58" s="1624"/>
      <c r="FE58" s="1624"/>
      <c r="FF58" s="1624"/>
      <c r="FG58" s="1624"/>
      <c r="FH58" s="1624"/>
      <c r="FI58" s="1624"/>
      <c r="FJ58" s="1624"/>
      <c r="FK58" s="1624"/>
      <c r="FL58" s="1624"/>
      <c r="FM58" s="1624"/>
      <c r="FN58" s="1624"/>
      <c r="FO58" s="1624"/>
      <c r="FP58" s="1624"/>
      <c r="FQ58" s="1624"/>
      <c r="FR58" s="1624"/>
      <c r="FS58" s="1624"/>
      <c r="FT58" s="1624"/>
      <c r="FU58" s="1624"/>
      <c r="FV58" s="1624"/>
      <c r="FW58" s="1624"/>
      <c r="FX58" s="1624"/>
      <c r="FY58" s="1624"/>
      <c r="FZ58" s="1624"/>
      <c r="GA58" s="1624"/>
      <c r="GB58" s="1624"/>
      <c r="GC58" s="1624"/>
      <c r="GD58" s="1624"/>
      <c r="GE58" s="1624"/>
      <c r="GF58" s="1624"/>
      <c r="GG58" s="1624"/>
      <c r="GH58" s="1624"/>
      <c r="GI58" s="1624"/>
      <c r="GJ58" s="1624"/>
      <c r="GK58" s="1624"/>
      <c r="GL58" s="1624"/>
      <c r="GM58" s="1624"/>
      <c r="GN58" s="1624"/>
      <c r="GO58" s="1624"/>
      <c r="GP58" s="1624"/>
      <c r="GQ58" s="1624"/>
      <c r="GR58" s="1624"/>
      <c r="GS58" s="1624"/>
      <c r="GT58" s="1624"/>
      <c r="GU58" s="1624"/>
      <c r="GV58" s="1624"/>
      <c r="GW58" s="1624"/>
      <c r="GX58" s="1624"/>
      <c r="GY58" s="1624"/>
      <c r="GZ58" s="1624"/>
      <c r="HA58" s="1624"/>
      <c r="HB58" s="1624"/>
      <c r="HC58" s="1624"/>
      <c r="HD58" s="1624"/>
      <c r="HE58" s="1624"/>
      <c r="HF58" s="1624"/>
      <c r="HG58" s="1624"/>
      <c r="HH58" s="1624"/>
      <c r="HI58" s="1624"/>
      <c r="HJ58" s="1624"/>
      <c r="HK58" s="1624"/>
      <c r="HL58" s="1624"/>
      <c r="HM58" s="1624"/>
      <c r="HN58" s="1624"/>
      <c r="HO58" s="1624"/>
      <c r="HP58" s="1624"/>
      <c r="HQ58" s="1624"/>
    </row>
    <row r="59" spans="1:225" s="684" customFormat="1" ht="13.5" thickBot="1">
      <c r="A59" s="1648" t="s">
        <v>917</v>
      </c>
      <c r="B59" s="1649">
        <f>ROUND(SUM(C59:AZ59),0)</f>
        <v>0</v>
      </c>
      <c r="C59" s="1650">
        <f>C58</f>
        <v>0</v>
      </c>
      <c r="D59" s="1651">
        <f t="shared" ref="D59:AZ59" si="23">D58</f>
        <v>0</v>
      </c>
      <c r="E59" s="1651">
        <f t="shared" si="23"/>
        <v>0</v>
      </c>
      <c r="F59" s="1651">
        <f t="shared" si="23"/>
        <v>0</v>
      </c>
      <c r="G59" s="1651">
        <f t="shared" si="23"/>
        <v>0</v>
      </c>
      <c r="H59" s="1651">
        <f t="shared" si="23"/>
        <v>0</v>
      </c>
      <c r="I59" s="1651">
        <f t="shared" si="23"/>
        <v>0</v>
      </c>
      <c r="J59" s="1651">
        <f t="shared" si="23"/>
        <v>0</v>
      </c>
      <c r="K59" s="1651">
        <f t="shared" si="23"/>
        <v>0</v>
      </c>
      <c r="L59" s="1651">
        <f t="shared" si="23"/>
        <v>0</v>
      </c>
      <c r="M59" s="1651">
        <f t="shared" si="23"/>
        <v>0</v>
      </c>
      <c r="N59" s="1651">
        <f t="shared" si="23"/>
        <v>0</v>
      </c>
      <c r="O59" s="1651">
        <f t="shared" si="23"/>
        <v>0</v>
      </c>
      <c r="P59" s="1651">
        <f t="shared" si="23"/>
        <v>0</v>
      </c>
      <c r="Q59" s="1651">
        <f t="shared" si="23"/>
        <v>0</v>
      </c>
      <c r="R59" s="1651">
        <f t="shared" si="23"/>
        <v>0</v>
      </c>
      <c r="S59" s="1651">
        <f t="shared" si="23"/>
        <v>0</v>
      </c>
      <c r="T59" s="1651">
        <f t="shared" si="23"/>
        <v>0</v>
      </c>
      <c r="U59" s="1651">
        <f t="shared" si="23"/>
        <v>0</v>
      </c>
      <c r="V59" s="1651">
        <f t="shared" si="23"/>
        <v>0</v>
      </c>
      <c r="W59" s="1651">
        <f t="shared" si="23"/>
        <v>0</v>
      </c>
      <c r="X59" s="1651">
        <f t="shared" si="23"/>
        <v>0</v>
      </c>
      <c r="Y59" s="1651">
        <f t="shared" si="23"/>
        <v>0</v>
      </c>
      <c r="Z59" s="1651">
        <f t="shared" si="23"/>
        <v>0</v>
      </c>
      <c r="AA59" s="1651">
        <f t="shared" si="23"/>
        <v>0</v>
      </c>
      <c r="AB59" s="1651">
        <f t="shared" si="23"/>
        <v>0</v>
      </c>
      <c r="AC59" s="1651">
        <f t="shared" si="23"/>
        <v>0</v>
      </c>
      <c r="AD59" s="1651">
        <f t="shared" si="23"/>
        <v>0</v>
      </c>
      <c r="AE59" s="1651">
        <f t="shared" si="23"/>
        <v>0</v>
      </c>
      <c r="AF59" s="1651">
        <f t="shared" si="23"/>
        <v>0</v>
      </c>
      <c r="AG59" s="1651">
        <f t="shared" si="23"/>
        <v>0</v>
      </c>
      <c r="AH59" s="1651">
        <f t="shared" si="23"/>
        <v>0</v>
      </c>
      <c r="AI59" s="1651">
        <f t="shared" si="23"/>
        <v>0</v>
      </c>
      <c r="AJ59" s="1651">
        <f t="shared" si="23"/>
        <v>0</v>
      </c>
      <c r="AK59" s="1651">
        <f t="shared" si="23"/>
        <v>0</v>
      </c>
      <c r="AL59" s="1651">
        <f t="shared" si="23"/>
        <v>0</v>
      </c>
      <c r="AM59" s="1651">
        <f t="shared" si="23"/>
        <v>0</v>
      </c>
      <c r="AN59" s="1651">
        <f t="shared" si="23"/>
        <v>0</v>
      </c>
      <c r="AO59" s="1651">
        <f t="shared" si="23"/>
        <v>0</v>
      </c>
      <c r="AP59" s="1651">
        <f t="shared" si="23"/>
        <v>0</v>
      </c>
      <c r="AQ59" s="1651">
        <f t="shared" si="23"/>
        <v>0</v>
      </c>
      <c r="AR59" s="1651">
        <f t="shared" si="23"/>
        <v>0</v>
      </c>
      <c r="AS59" s="1651">
        <f t="shared" si="23"/>
        <v>0</v>
      </c>
      <c r="AT59" s="1651">
        <f t="shared" si="23"/>
        <v>0</v>
      </c>
      <c r="AU59" s="1651">
        <f t="shared" si="23"/>
        <v>0</v>
      </c>
      <c r="AV59" s="1651">
        <f t="shared" si="23"/>
        <v>0</v>
      </c>
      <c r="AW59" s="1651">
        <f t="shared" si="23"/>
        <v>0</v>
      </c>
      <c r="AX59" s="1651">
        <f t="shared" si="23"/>
        <v>0</v>
      </c>
      <c r="AY59" s="1651">
        <f t="shared" si="23"/>
        <v>0</v>
      </c>
      <c r="AZ59" s="1651">
        <f t="shared" si="23"/>
        <v>0</v>
      </c>
      <c r="BA59" s="1652"/>
      <c r="BB59" s="1652"/>
      <c r="BC59" s="1652"/>
      <c r="BD59" s="1652"/>
      <c r="BE59" s="1652"/>
      <c r="BF59" s="1652"/>
      <c r="BG59" s="1652"/>
      <c r="BH59" s="1652"/>
      <c r="BI59" s="1652"/>
      <c r="BJ59" s="1652"/>
      <c r="BK59" s="1652"/>
      <c r="BL59" s="1652"/>
      <c r="BM59" s="1652"/>
      <c r="BN59" s="1652"/>
      <c r="BO59" s="1652"/>
      <c r="BP59" s="1652"/>
      <c r="BQ59" s="1652"/>
      <c r="BR59" s="1652"/>
      <c r="BS59" s="1652"/>
      <c r="BT59" s="1652"/>
      <c r="BU59" s="1652"/>
      <c r="BV59" s="1652"/>
      <c r="BW59" s="1652"/>
      <c r="BX59" s="1652"/>
      <c r="BY59" s="1652"/>
      <c r="BZ59" s="1652"/>
      <c r="CA59" s="1652"/>
      <c r="CB59" s="1652"/>
      <c r="CC59" s="1652"/>
      <c r="CD59" s="1652"/>
      <c r="CE59" s="1652"/>
      <c r="CF59" s="1652"/>
      <c r="CG59" s="1652"/>
      <c r="CH59" s="1652"/>
      <c r="CI59" s="1652"/>
      <c r="CJ59" s="1652"/>
      <c r="CK59" s="1652"/>
      <c r="CL59" s="1652"/>
      <c r="CM59" s="1652"/>
      <c r="CN59" s="1652"/>
      <c r="CO59" s="1652"/>
      <c r="CP59" s="1652"/>
      <c r="CQ59" s="1652"/>
      <c r="CR59" s="1652"/>
      <c r="CS59" s="1652"/>
      <c r="CT59" s="1652"/>
      <c r="CU59" s="1652"/>
      <c r="CV59" s="1652"/>
      <c r="CW59" s="1652"/>
      <c r="CX59" s="1652"/>
      <c r="CY59" s="1652"/>
      <c r="CZ59" s="1652"/>
      <c r="DA59" s="1652"/>
      <c r="DB59" s="1652"/>
      <c r="DC59" s="1652"/>
      <c r="DD59" s="1652"/>
      <c r="DE59" s="1652"/>
      <c r="DF59" s="1652"/>
      <c r="DG59" s="1652"/>
      <c r="DH59" s="1652"/>
      <c r="DI59" s="1652"/>
      <c r="DJ59" s="1652"/>
      <c r="DK59" s="1652"/>
      <c r="DL59" s="1652"/>
      <c r="DM59" s="1652"/>
      <c r="DN59" s="1652"/>
      <c r="DO59" s="1652"/>
      <c r="DP59" s="1652"/>
      <c r="DQ59" s="1652"/>
      <c r="DR59" s="1652"/>
      <c r="DS59" s="1652"/>
      <c r="DT59" s="1652"/>
      <c r="DU59" s="1652"/>
      <c r="DV59" s="1652"/>
      <c r="DW59" s="1652"/>
      <c r="DX59" s="1652"/>
      <c r="DY59" s="1652"/>
      <c r="DZ59" s="1652"/>
      <c r="EA59" s="1652"/>
      <c r="EB59" s="1652"/>
      <c r="EC59" s="1652"/>
      <c r="ED59" s="1652"/>
      <c r="EE59" s="1652"/>
      <c r="EF59" s="1652"/>
      <c r="EG59" s="1652"/>
      <c r="EH59" s="1652"/>
      <c r="EI59" s="1652"/>
      <c r="EJ59" s="1652"/>
      <c r="EK59" s="1652"/>
      <c r="EL59" s="1652"/>
      <c r="EM59" s="1652"/>
      <c r="EN59" s="1652"/>
      <c r="EO59" s="1652"/>
      <c r="EP59" s="1652"/>
      <c r="EQ59" s="1652"/>
      <c r="ER59" s="1652"/>
      <c r="ES59" s="1652"/>
      <c r="ET59" s="1652"/>
      <c r="EU59" s="1652"/>
      <c r="EV59" s="1652"/>
      <c r="EW59" s="1652"/>
      <c r="EX59" s="1652"/>
      <c r="EY59" s="1652"/>
      <c r="EZ59" s="1652"/>
      <c r="FA59" s="1652"/>
      <c r="FB59" s="1652"/>
      <c r="FC59" s="1652"/>
      <c r="FD59" s="1652"/>
      <c r="FE59" s="1652"/>
      <c r="FF59" s="1652"/>
      <c r="FG59" s="1652"/>
      <c r="FH59" s="1652"/>
      <c r="FI59" s="1652"/>
      <c r="FJ59" s="1652"/>
      <c r="FK59" s="1652"/>
      <c r="FL59" s="1652"/>
      <c r="FM59" s="1652"/>
      <c r="FN59" s="1652"/>
      <c r="FO59" s="1652"/>
      <c r="FP59" s="1652"/>
      <c r="FQ59" s="1652"/>
      <c r="FR59" s="1652"/>
      <c r="FS59" s="1652"/>
      <c r="FT59" s="1652"/>
      <c r="FU59" s="1652"/>
      <c r="FV59" s="1652"/>
      <c r="FW59" s="1652"/>
      <c r="FX59" s="1652"/>
      <c r="FY59" s="1652"/>
      <c r="FZ59" s="1652"/>
      <c r="GA59" s="1652"/>
      <c r="GB59" s="1652"/>
      <c r="GC59" s="1652"/>
      <c r="GD59" s="1652"/>
      <c r="GE59" s="1652"/>
      <c r="GF59" s="1652"/>
      <c r="GG59" s="1652"/>
      <c r="GH59" s="1652"/>
      <c r="GI59" s="1652"/>
      <c r="GJ59" s="1652"/>
      <c r="GK59" s="1652"/>
      <c r="GL59" s="1652"/>
      <c r="GM59" s="1652"/>
      <c r="GN59" s="1652"/>
      <c r="GO59" s="1652"/>
      <c r="GP59" s="1652"/>
      <c r="GQ59" s="1652"/>
      <c r="GR59" s="1652"/>
      <c r="GS59" s="1652"/>
      <c r="GT59" s="1652"/>
      <c r="GU59" s="1652"/>
      <c r="GV59" s="1652"/>
      <c r="GW59" s="1652"/>
      <c r="GX59" s="1652"/>
      <c r="GY59" s="1652"/>
      <c r="GZ59" s="1652"/>
      <c r="HA59" s="1652"/>
      <c r="HB59" s="1652"/>
      <c r="HC59" s="1652"/>
      <c r="HD59" s="1652"/>
      <c r="HE59" s="1652"/>
      <c r="HF59" s="1652"/>
      <c r="HG59" s="1652"/>
      <c r="HH59" s="1652"/>
      <c r="HI59" s="1652"/>
      <c r="HJ59" s="1652"/>
      <c r="HK59" s="1652"/>
      <c r="HL59" s="1652"/>
      <c r="HM59" s="1652"/>
      <c r="HN59" s="1652"/>
      <c r="HO59" s="1652"/>
      <c r="HP59" s="1652"/>
      <c r="HQ59" s="1652"/>
    </row>
    <row r="60" spans="1:225" s="683" customFormat="1">
      <c r="A60" s="1653" t="s">
        <v>918</v>
      </c>
      <c r="B60" s="1654" t="str">
        <f t="shared" ref="B60:AZ60" si="24">IF(B32="","",IF(B59=0,"",B59/B58))</f>
        <v/>
      </c>
      <c r="C60" s="1655" t="str">
        <f t="shared" si="24"/>
        <v/>
      </c>
      <c r="D60" s="1656" t="str">
        <f t="shared" si="24"/>
        <v/>
      </c>
      <c r="E60" s="1656" t="str">
        <f t="shared" si="24"/>
        <v/>
      </c>
      <c r="F60" s="1656" t="str">
        <f t="shared" si="24"/>
        <v/>
      </c>
      <c r="G60" s="1656" t="str">
        <f t="shared" si="24"/>
        <v/>
      </c>
      <c r="H60" s="1656" t="str">
        <f t="shared" si="24"/>
        <v/>
      </c>
      <c r="I60" s="1656" t="str">
        <f t="shared" si="24"/>
        <v/>
      </c>
      <c r="J60" s="1656" t="str">
        <f t="shared" si="24"/>
        <v/>
      </c>
      <c r="K60" s="1656" t="str">
        <f t="shared" si="24"/>
        <v/>
      </c>
      <c r="L60" s="1656" t="str">
        <f t="shared" si="24"/>
        <v/>
      </c>
      <c r="M60" s="1656" t="str">
        <f t="shared" si="24"/>
        <v/>
      </c>
      <c r="N60" s="1656" t="str">
        <f t="shared" si="24"/>
        <v/>
      </c>
      <c r="O60" s="1656" t="str">
        <f t="shared" si="24"/>
        <v/>
      </c>
      <c r="P60" s="1656" t="str">
        <f t="shared" si="24"/>
        <v/>
      </c>
      <c r="Q60" s="1656" t="str">
        <f t="shared" si="24"/>
        <v/>
      </c>
      <c r="R60" s="1656" t="str">
        <f t="shared" si="24"/>
        <v/>
      </c>
      <c r="S60" s="1656" t="str">
        <f t="shared" si="24"/>
        <v/>
      </c>
      <c r="T60" s="1656" t="str">
        <f t="shared" si="24"/>
        <v/>
      </c>
      <c r="U60" s="1656" t="str">
        <f t="shared" si="24"/>
        <v/>
      </c>
      <c r="V60" s="1656" t="str">
        <f t="shared" si="24"/>
        <v/>
      </c>
      <c r="W60" s="1656" t="str">
        <f t="shared" si="24"/>
        <v/>
      </c>
      <c r="X60" s="1656" t="str">
        <f t="shared" si="24"/>
        <v/>
      </c>
      <c r="Y60" s="1656" t="str">
        <f t="shared" si="24"/>
        <v/>
      </c>
      <c r="Z60" s="1656" t="str">
        <f t="shared" si="24"/>
        <v/>
      </c>
      <c r="AA60" s="1656" t="str">
        <f t="shared" si="24"/>
        <v/>
      </c>
      <c r="AB60" s="1656" t="str">
        <f t="shared" si="24"/>
        <v/>
      </c>
      <c r="AC60" s="1656" t="str">
        <f t="shared" si="24"/>
        <v/>
      </c>
      <c r="AD60" s="1656" t="str">
        <f t="shared" si="24"/>
        <v/>
      </c>
      <c r="AE60" s="1656" t="str">
        <f t="shared" si="24"/>
        <v/>
      </c>
      <c r="AF60" s="1656" t="str">
        <f t="shared" si="24"/>
        <v/>
      </c>
      <c r="AG60" s="1656" t="str">
        <f t="shared" si="24"/>
        <v/>
      </c>
      <c r="AH60" s="1656" t="str">
        <f t="shared" si="24"/>
        <v/>
      </c>
      <c r="AI60" s="1656" t="str">
        <f t="shared" si="24"/>
        <v/>
      </c>
      <c r="AJ60" s="1656" t="str">
        <f t="shared" si="24"/>
        <v/>
      </c>
      <c r="AK60" s="1656" t="str">
        <f t="shared" si="24"/>
        <v/>
      </c>
      <c r="AL60" s="1656" t="str">
        <f t="shared" si="24"/>
        <v/>
      </c>
      <c r="AM60" s="1656" t="str">
        <f t="shared" si="24"/>
        <v/>
      </c>
      <c r="AN60" s="1656" t="str">
        <f t="shared" si="24"/>
        <v/>
      </c>
      <c r="AO60" s="1656" t="str">
        <f t="shared" si="24"/>
        <v/>
      </c>
      <c r="AP60" s="1656" t="str">
        <f t="shared" si="24"/>
        <v/>
      </c>
      <c r="AQ60" s="1656" t="str">
        <f t="shared" si="24"/>
        <v/>
      </c>
      <c r="AR60" s="1656" t="str">
        <f t="shared" si="24"/>
        <v/>
      </c>
      <c r="AS60" s="1656" t="str">
        <f t="shared" si="24"/>
        <v/>
      </c>
      <c r="AT60" s="1656" t="str">
        <f t="shared" si="24"/>
        <v/>
      </c>
      <c r="AU60" s="1656" t="str">
        <f t="shared" si="24"/>
        <v/>
      </c>
      <c r="AV60" s="1656" t="str">
        <f t="shared" si="24"/>
        <v/>
      </c>
      <c r="AW60" s="1656" t="str">
        <f t="shared" si="24"/>
        <v/>
      </c>
      <c r="AX60" s="1656" t="str">
        <f t="shared" si="24"/>
        <v/>
      </c>
      <c r="AY60" s="1656" t="str">
        <f t="shared" si="24"/>
        <v/>
      </c>
      <c r="AZ60" s="1656" t="str">
        <f t="shared" si="24"/>
        <v/>
      </c>
      <c r="BA60" s="1624"/>
      <c r="BB60" s="1624"/>
      <c r="BC60" s="1624"/>
      <c r="BD60" s="1624"/>
      <c r="BE60" s="1624"/>
      <c r="BF60" s="1624"/>
      <c r="BG60" s="1624"/>
      <c r="BH60" s="1624"/>
      <c r="BI60" s="1624"/>
      <c r="BJ60" s="1624"/>
      <c r="BK60" s="1624"/>
      <c r="BL60" s="1624"/>
      <c r="BM60" s="1624"/>
      <c r="BN60" s="1624"/>
      <c r="BO60" s="1624"/>
      <c r="BP60" s="1624"/>
      <c r="BQ60" s="1624"/>
      <c r="BR60" s="1624"/>
      <c r="BS60" s="1624"/>
      <c r="BT60" s="1624"/>
      <c r="BU60" s="1624"/>
      <c r="BV60" s="1624"/>
      <c r="BW60" s="1624"/>
      <c r="BX60" s="1624"/>
      <c r="BY60" s="1624"/>
      <c r="BZ60" s="1624"/>
      <c r="CA60" s="1624"/>
      <c r="CB60" s="1624"/>
      <c r="CC60" s="1624"/>
      <c r="CD60" s="1624"/>
      <c r="CE60" s="1624"/>
      <c r="CF60" s="1624"/>
      <c r="CG60" s="1624"/>
      <c r="CH60" s="1624"/>
      <c r="CI60" s="1624"/>
      <c r="CJ60" s="1624"/>
      <c r="CK60" s="1624"/>
      <c r="CL60" s="1624"/>
      <c r="CM60" s="1624"/>
      <c r="CN60" s="1624"/>
      <c r="CO60" s="1624"/>
      <c r="CP60" s="1624"/>
      <c r="CQ60" s="1624"/>
      <c r="CR60" s="1624"/>
      <c r="CS60" s="1624"/>
      <c r="CT60" s="1624"/>
      <c r="CU60" s="1624"/>
      <c r="CV60" s="1624"/>
      <c r="CW60" s="1624"/>
      <c r="CX60" s="1624"/>
      <c r="CY60" s="1624"/>
      <c r="CZ60" s="1624"/>
      <c r="DA60" s="1624"/>
      <c r="DB60" s="1624"/>
      <c r="DC60" s="1624"/>
      <c r="DD60" s="1624"/>
      <c r="DE60" s="1624"/>
      <c r="DF60" s="1624"/>
      <c r="DG60" s="1624"/>
      <c r="DH60" s="1624"/>
      <c r="DI60" s="1624"/>
      <c r="DJ60" s="1624"/>
      <c r="DK60" s="1624"/>
      <c r="DL60" s="1624"/>
      <c r="DM60" s="1624"/>
      <c r="DN60" s="1624"/>
      <c r="DO60" s="1624"/>
      <c r="DP60" s="1624"/>
      <c r="DQ60" s="1624"/>
      <c r="DR60" s="1624"/>
      <c r="DS60" s="1624"/>
      <c r="DT60" s="1624"/>
      <c r="DU60" s="1624"/>
      <c r="DV60" s="1624"/>
      <c r="DW60" s="1624"/>
      <c r="DX60" s="1624"/>
      <c r="DY60" s="1624"/>
      <c r="DZ60" s="1624"/>
      <c r="EA60" s="1624"/>
      <c r="EB60" s="1624"/>
      <c r="EC60" s="1624"/>
      <c r="ED60" s="1624"/>
      <c r="EE60" s="1624"/>
      <c r="EF60" s="1624"/>
      <c r="EG60" s="1624"/>
      <c r="EH60" s="1624"/>
      <c r="EI60" s="1624"/>
      <c r="EJ60" s="1624"/>
      <c r="EK60" s="1624"/>
      <c r="EL60" s="1624"/>
      <c r="EM60" s="1624"/>
      <c r="EN60" s="1624"/>
      <c r="EO60" s="1624"/>
      <c r="EP60" s="1624"/>
      <c r="EQ60" s="1624"/>
      <c r="ER60" s="1624"/>
      <c r="ES60" s="1624"/>
      <c r="ET60" s="1624"/>
      <c r="EU60" s="1624"/>
      <c r="EV60" s="1624"/>
      <c r="EW60" s="1624"/>
      <c r="EX60" s="1624"/>
      <c r="EY60" s="1624"/>
      <c r="EZ60" s="1624"/>
      <c r="FA60" s="1624"/>
      <c r="FB60" s="1624"/>
      <c r="FC60" s="1624"/>
      <c r="FD60" s="1624"/>
      <c r="FE60" s="1624"/>
      <c r="FF60" s="1624"/>
      <c r="FG60" s="1624"/>
      <c r="FH60" s="1624"/>
      <c r="FI60" s="1624"/>
      <c r="FJ60" s="1624"/>
      <c r="FK60" s="1624"/>
      <c r="FL60" s="1624"/>
      <c r="FM60" s="1624"/>
      <c r="FN60" s="1624"/>
      <c r="FO60" s="1624"/>
      <c r="FP60" s="1624"/>
      <c r="FQ60" s="1624"/>
      <c r="FR60" s="1624"/>
      <c r="FS60" s="1624"/>
      <c r="FT60" s="1624"/>
      <c r="FU60" s="1624"/>
      <c r="FV60" s="1624"/>
      <c r="FW60" s="1624"/>
      <c r="FX60" s="1624"/>
      <c r="FY60" s="1624"/>
      <c r="FZ60" s="1624"/>
      <c r="GA60" s="1624"/>
      <c r="GB60" s="1624"/>
      <c r="GC60" s="1624"/>
      <c r="GD60" s="1624"/>
      <c r="GE60" s="1624"/>
      <c r="GF60" s="1624"/>
      <c r="GG60" s="1624"/>
      <c r="GH60" s="1624"/>
      <c r="GI60" s="1624"/>
      <c r="GJ60" s="1624"/>
      <c r="GK60" s="1624"/>
      <c r="GL60" s="1624"/>
      <c r="GM60" s="1624"/>
      <c r="GN60" s="1624"/>
      <c r="GO60" s="1624"/>
      <c r="GP60" s="1624"/>
      <c r="GQ60" s="1624"/>
      <c r="GR60" s="1624"/>
      <c r="GS60" s="1624"/>
      <c r="GT60" s="1624"/>
      <c r="GU60" s="1624"/>
      <c r="GV60" s="1624"/>
      <c r="GW60" s="1624"/>
      <c r="GX60" s="1624"/>
      <c r="GY60" s="1624"/>
      <c r="GZ60" s="1624"/>
      <c r="HA60" s="1624"/>
      <c r="HB60" s="1624"/>
      <c r="HC60" s="1624"/>
      <c r="HD60" s="1624"/>
      <c r="HE60" s="1624"/>
      <c r="HF60" s="1624"/>
      <c r="HG60" s="1624"/>
      <c r="HH60" s="1624"/>
      <c r="HI60" s="1624"/>
      <c r="HJ60" s="1624"/>
      <c r="HK60" s="1624"/>
      <c r="HL60" s="1624"/>
      <c r="HM60" s="1624"/>
      <c r="HN60" s="1624"/>
      <c r="HO60" s="1624"/>
      <c r="HP60" s="1624"/>
      <c r="HQ60" s="1624"/>
    </row>
    <row r="61" spans="1:225" ht="12.2" customHeight="1">
      <c r="A61" s="464"/>
      <c r="B61" s="1657"/>
      <c r="C61" s="296"/>
      <c r="D61" s="527"/>
      <c r="E61" s="527"/>
      <c r="F61" s="527"/>
      <c r="G61" s="297"/>
      <c r="H61" s="297"/>
      <c r="I61" s="297"/>
      <c r="J61" s="298"/>
      <c r="K61" s="1459"/>
      <c r="L61" s="298"/>
      <c r="M61" s="297"/>
      <c r="N61" s="297"/>
      <c r="O61" s="297"/>
      <c r="P61" s="297"/>
      <c r="Q61" s="297"/>
      <c r="R61" s="298"/>
      <c r="S61" s="297"/>
      <c r="T61" s="297"/>
      <c r="U61" s="297"/>
      <c r="V61" s="528"/>
      <c r="W61" s="298"/>
      <c r="X61" s="298"/>
      <c r="Y61" s="298"/>
      <c r="Z61" s="298"/>
      <c r="AA61" s="298"/>
      <c r="AB61" s="298"/>
      <c r="AC61" s="298"/>
      <c r="AD61" s="298"/>
      <c r="AE61" s="298"/>
      <c r="AF61" s="298"/>
      <c r="AG61" s="298"/>
      <c r="AH61" s="298"/>
      <c r="AI61" s="298"/>
      <c r="AJ61" s="298"/>
      <c r="AK61" s="298"/>
      <c r="AL61" s="298"/>
      <c r="AM61" s="298"/>
      <c r="AN61" s="298"/>
      <c r="AO61" s="298"/>
      <c r="AP61" s="298"/>
      <c r="AQ61" s="298"/>
      <c r="AR61" s="298"/>
      <c r="AS61" s="298"/>
      <c r="AT61" s="298"/>
      <c r="AU61" s="298"/>
      <c r="AV61" s="298"/>
      <c r="AW61" s="298"/>
      <c r="AX61" s="298"/>
      <c r="AY61" s="298"/>
      <c r="AZ61" s="298"/>
    </row>
    <row r="62" spans="1:225" ht="14.25" customHeight="1">
      <c r="A62" s="529" t="s">
        <v>919</v>
      </c>
      <c r="B62" s="1658">
        <f>SUM(C62:AZ62)</f>
        <v>0</v>
      </c>
      <c r="C62" s="1659">
        <f>IF(Setup!$L$31=Lists!$A$8,'LIHTCs&amp;BLDGs'!C59,0)</f>
        <v>0</v>
      </c>
      <c r="D62" s="1660">
        <f>IF(Setup!$L$31=Lists!$A$8,'LIHTCs&amp;BLDGs'!D59,0)</f>
        <v>0</v>
      </c>
      <c r="E62" s="1661">
        <f>IF(Setup!$L$31=Lists!$A$8,'LIHTCs&amp;BLDGs'!E59,0)</f>
        <v>0</v>
      </c>
      <c r="F62" s="1659">
        <f>IF(Setup!$L$31=Lists!$A$8,'LIHTCs&amp;BLDGs'!F59,0)</f>
        <v>0</v>
      </c>
      <c r="G62" s="1659">
        <f>IF(Setup!$L$31=Lists!$A$8,'LIHTCs&amp;BLDGs'!G59,0)</f>
        <v>0</v>
      </c>
      <c r="H62" s="1659">
        <f>IF(Setup!$L$31=Lists!$A$8,'LIHTCs&amp;BLDGs'!H59,0)</f>
        <v>0</v>
      </c>
      <c r="I62" s="1659">
        <f>IF(Setup!$L$31=Lists!$A$8,'LIHTCs&amp;BLDGs'!I59,0)</f>
        <v>0</v>
      </c>
      <c r="J62" s="1659">
        <f>IF(Setup!$L$31=Lists!$A$8,'LIHTCs&amp;BLDGs'!J59,0)</f>
        <v>0</v>
      </c>
      <c r="K62" s="1659">
        <f>IF(Setup!$L$31=Lists!$A$8,'LIHTCs&amp;BLDGs'!K59,0)</f>
        <v>0</v>
      </c>
      <c r="L62" s="1659">
        <f>IF(Setup!$L$31=Lists!$A$8,'LIHTCs&amp;BLDGs'!L59,0)</f>
        <v>0</v>
      </c>
      <c r="M62" s="1659">
        <f>IF(Setup!$L$31=Lists!$A$8,'LIHTCs&amp;BLDGs'!M59,0)</f>
        <v>0</v>
      </c>
      <c r="N62" s="1659">
        <f>IF(Setup!$L$31=Lists!$A$8,'LIHTCs&amp;BLDGs'!N59,0)</f>
        <v>0</v>
      </c>
      <c r="O62" s="1659">
        <f>IF(Setup!$L$31=Lists!$A$8,'LIHTCs&amp;BLDGs'!O59,0)</f>
        <v>0</v>
      </c>
      <c r="P62" s="1659">
        <f>IF(Setup!$L$31=Lists!$A$8,'LIHTCs&amp;BLDGs'!P59,0)</f>
        <v>0</v>
      </c>
      <c r="Q62" s="1659">
        <f>IF(Setup!$L$31=Lists!$A$8,'LIHTCs&amp;BLDGs'!Q59,0)</f>
        <v>0</v>
      </c>
      <c r="R62" s="1659">
        <f>IF(Setup!$L$31=Lists!$A$8,'LIHTCs&amp;BLDGs'!R59,0)</f>
        <v>0</v>
      </c>
      <c r="S62" s="1659">
        <f>IF(Setup!$L$31=Lists!$A$8,'LIHTCs&amp;BLDGs'!S59,0)</f>
        <v>0</v>
      </c>
      <c r="T62" s="1659">
        <f>IF(Setup!$L$31=Lists!$A$8,'LIHTCs&amp;BLDGs'!T59,0)</f>
        <v>0</v>
      </c>
      <c r="U62" s="1659">
        <f>IF(Setup!$L$31=Lists!$A$8,'LIHTCs&amp;BLDGs'!U59,0)</f>
        <v>0</v>
      </c>
      <c r="V62" s="1659">
        <f>IF(Setup!$L$31=Lists!$A$8,'LIHTCs&amp;BLDGs'!V59,0)</f>
        <v>0</v>
      </c>
      <c r="W62" s="1659">
        <f>IF(Setup!$L$31=Lists!$A$8,'LIHTCs&amp;BLDGs'!W59,0)</f>
        <v>0</v>
      </c>
      <c r="X62" s="1659">
        <f>IF(Setup!$L$31=Lists!$A$8,'LIHTCs&amp;BLDGs'!X59,0)</f>
        <v>0</v>
      </c>
      <c r="Y62" s="1659">
        <f>IF(Setup!$L$31=Lists!$A$8,'LIHTCs&amp;BLDGs'!Y59,0)</f>
        <v>0</v>
      </c>
      <c r="Z62" s="1659">
        <f>IF(Setup!$L$31=Lists!$A$8,'LIHTCs&amp;BLDGs'!Z59,0)</f>
        <v>0</v>
      </c>
      <c r="AA62" s="1659">
        <f>IF(Setup!$L$31=Lists!$A$8,'LIHTCs&amp;BLDGs'!AA59,0)</f>
        <v>0</v>
      </c>
      <c r="AB62" s="1659">
        <f>IF(Setup!$L$31=Lists!$A$8,'LIHTCs&amp;BLDGs'!AB59,0)</f>
        <v>0</v>
      </c>
      <c r="AC62" s="1659">
        <f>IF(Setup!$L$31=Lists!$A$8,'LIHTCs&amp;BLDGs'!AC59,0)</f>
        <v>0</v>
      </c>
      <c r="AD62" s="1659">
        <f>IF(Setup!$L$31=Lists!$A$8,'LIHTCs&amp;BLDGs'!AD59,0)</f>
        <v>0</v>
      </c>
      <c r="AE62" s="1659">
        <f>IF(Setup!$L$31=Lists!$A$8,'LIHTCs&amp;BLDGs'!AE59,0)</f>
        <v>0</v>
      </c>
      <c r="AF62" s="1659">
        <f>IF(Setup!$L$31=Lists!$A$8,'LIHTCs&amp;BLDGs'!AF59,0)</f>
        <v>0</v>
      </c>
      <c r="AG62" s="1659">
        <f>IF(Setup!$L$31=Lists!$A$8,'LIHTCs&amp;BLDGs'!AG59,0)</f>
        <v>0</v>
      </c>
      <c r="AH62" s="1659">
        <f>IF(Setup!$L$31=Lists!$A$8,'LIHTCs&amp;BLDGs'!AH59,0)</f>
        <v>0</v>
      </c>
      <c r="AI62" s="1659">
        <f>IF(Setup!$L$31=Lists!$A$8,'LIHTCs&amp;BLDGs'!AI59,0)</f>
        <v>0</v>
      </c>
      <c r="AJ62" s="1659">
        <f>IF(Setup!$L$31=Lists!$A$8,'LIHTCs&amp;BLDGs'!AJ59,0)</f>
        <v>0</v>
      </c>
      <c r="AK62" s="1659">
        <f>IF(Setup!$L$31=Lists!$A$8,'LIHTCs&amp;BLDGs'!AK59,0)</f>
        <v>0</v>
      </c>
      <c r="AL62" s="1659">
        <f>IF(Setup!$L$31=Lists!$A$8,'LIHTCs&amp;BLDGs'!AL59,0)</f>
        <v>0</v>
      </c>
      <c r="AM62" s="1659">
        <f>IF(Setup!$L$31=Lists!$A$8,'LIHTCs&amp;BLDGs'!AM59,0)</f>
        <v>0</v>
      </c>
      <c r="AN62" s="1659">
        <f>IF(Setup!$L$31=Lists!$A$8,'LIHTCs&amp;BLDGs'!AN59,0)</f>
        <v>0</v>
      </c>
      <c r="AO62" s="1659">
        <f>IF(Setup!$L$31=Lists!$A$8,'LIHTCs&amp;BLDGs'!AO59,0)</f>
        <v>0</v>
      </c>
      <c r="AP62" s="1659">
        <f>IF(Setup!$L$31=Lists!$A$8,'LIHTCs&amp;BLDGs'!AP59,0)</f>
        <v>0</v>
      </c>
      <c r="AQ62" s="1659">
        <f>IF(Setup!$L$31=Lists!$A$8,'LIHTCs&amp;BLDGs'!AQ59,0)</f>
        <v>0</v>
      </c>
      <c r="AR62" s="1659">
        <f>IF(Setup!$L$31=Lists!$A$8,'LIHTCs&amp;BLDGs'!AR59,0)</f>
        <v>0</v>
      </c>
      <c r="AS62" s="1659">
        <f>IF(Setup!$L$31=Lists!$A$8,'LIHTCs&amp;BLDGs'!AS59,0)</f>
        <v>0</v>
      </c>
      <c r="AT62" s="1659">
        <f>IF(Setup!$L$31=Lists!$A$8,'LIHTCs&amp;BLDGs'!AT59,0)</f>
        <v>0</v>
      </c>
      <c r="AU62" s="1659">
        <f>IF(Setup!$L$31=Lists!$A$8,'LIHTCs&amp;BLDGs'!AU59,0)</f>
        <v>0</v>
      </c>
      <c r="AV62" s="1659">
        <f>IF(Setup!$L$31=Lists!$A$8,'LIHTCs&amp;BLDGs'!AV59,0)</f>
        <v>0</v>
      </c>
      <c r="AW62" s="1659">
        <f>IF(Setup!$L$31=Lists!$A$8,'LIHTCs&amp;BLDGs'!AW59,0)</f>
        <v>0</v>
      </c>
      <c r="AX62" s="1659">
        <f>IF(Setup!$L$31=Lists!$A$8,'LIHTCs&amp;BLDGs'!AX59,0)</f>
        <v>0</v>
      </c>
      <c r="AY62" s="1659">
        <f>IF(Setup!$L$31=Lists!$A$8,'LIHTCs&amp;BLDGs'!AY59,0)</f>
        <v>0</v>
      </c>
      <c r="AZ62" s="1660">
        <f>IF(Setup!$L$31=Lists!$A$8,'LIHTCs&amp;BLDGs'!AZ59,0)</f>
        <v>0</v>
      </c>
    </row>
    <row r="63" spans="1:225" ht="13.5" thickBot="1">
      <c r="A63" s="530" t="s">
        <v>920</v>
      </c>
      <c r="B63" s="1662">
        <f>SUM(C63:AZ63)</f>
        <v>0</v>
      </c>
      <c r="C63" s="531">
        <f t="shared" ref="C63:AZ63" si="25">C64-C62</f>
        <v>0</v>
      </c>
      <c r="D63" s="532">
        <f t="shared" si="25"/>
        <v>0</v>
      </c>
      <c r="E63" s="532">
        <f t="shared" si="25"/>
        <v>0</v>
      </c>
      <c r="F63" s="532">
        <f t="shared" si="25"/>
        <v>0</v>
      </c>
      <c r="G63" s="532">
        <f t="shared" si="25"/>
        <v>0</v>
      </c>
      <c r="H63" s="532">
        <f t="shared" si="25"/>
        <v>0</v>
      </c>
      <c r="I63" s="532">
        <f t="shared" si="25"/>
        <v>0</v>
      </c>
      <c r="J63" s="532">
        <f t="shared" si="25"/>
        <v>0</v>
      </c>
      <c r="K63" s="532">
        <f t="shared" si="25"/>
        <v>0</v>
      </c>
      <c r="L63" s="532">
        <f t="shared" si="25"/>
        <v>0</v>
      </c>
      <c r="M63" s="532">
        <f t="shared" si="25"/>
        <v>0</v>
      </c>
      <c r="N63" s="532">
        <f t="shared" si="25"/>
        <v>0</v>
      </c>
      <c r="O63" s="532">
        <f t="shared" si="25"/>
        <v>0</v>
      </c>
      <c r="P63" s="532">
        <f t="shared" si="25"/>
        <v>0</v>
      </c>
      <c r="Q63" s="532">
        <f t="shared" si="25"/>
        <v>0</v>
      </c>
      <c r="R63" s="532">
        <f t="shared" si="25"/>
        <v>0</v>
      </c>
      <c r="S63" s="532">
        <f t="shared" si="25"/>
        <v>0</v>
      </c>
      <c r="T63" s="532">
        <f t="shared" si="25"/>
        <v>0</v>
      </c>
      <c r="U63" s="532">
        <f t="shared" si="25"/>
        <v>0</v>
      </c>
      <c r="V63" s="532">
        <f t="shared" si="25"/>
        <v>0</v>
      </c>
      <c r="W63" s="532">
        <f t="shared" si="25"/>
        <v>0</v>
      </c>
      <c r="X63" s="532">
        <f t="shared" si="25"/>
        <v>0</v>
      </c>
      <c r="Y63" s="532">
        <f t="shared" si="25"/>
        <v>0</v>
      </c>
      <c r="Z63" s="532">
        <f t="shared" si="25"/>
        <v>0</v>
      </c>
      <c r="AA63" s="532">
        <f t="shared" si="25"/>
        <v>0</v>
      </c>
      <c r="AB63" s="532">
        <f t="shared" si="25"/>
        <v>0</v>
      </c>
      <c r="AC63" s="532">
        <f t="shared" si="25"/>
        <v>0</v>
      </c>
      <c r="AD63" s="532">
        <f t="shared" si="25"/>
        <v>0</v>
      </c>
      <c r="AE63" s="532">
        <f t="shared" si="25"/>
        <v>0</v>
      </c>
      <c r="AF63" s="532">
        <f t="shared" si="25"/>
        <v>0</v>
      </c>
      <c r="AG63" s="532">
        <f t="shared" si="25"/>
        <v>0</v>
      </c>
      <c r="AH63" s="532">
        <f t="shared" si="25"/>
        <v>0</v>
      </c>
      <c r="AI63" s="532">
        <f t="shared" si="25"/>
        <v>0</v>
      </c>
      <c r="AJ63" s="532">
        <f t="shared" si="25"/>
        <v>0</v>
      </c>
      <c r="AK63" s="532">
        <f t="shared" si="25"/>
        <v>0</v>
      </c>
      <c r="AL63" s="532">
        <f t="shared" si="25"/>
        <v>0</v>
      </c>
      <c r="AM63" s="532">
        <f t="shared" si="25"/>
        <v>0</v>
      </c>
      <c r="AN63" s="532">
        <f t="shared" si="25"/>
        <v>0</v>
      </c>
      <c r="AO63" s="532">
        <f t="shared" si="25"/>
        <v>0</v>
      </c>
      <c r="AP63" s="532">
        <f t="shared" si="25"/>
        <v>0</v>
      </c>
      <c r="AQ63" s="532">
        <f t="shared" si="25"/>
        <v>0</v>
      </c>
      <c r="AR63" s="532">
        <f t="shared" si="25"/>
        <v>0</v>
      </c>
      <c r="AS63" s="532">
        <f t="shared" si="25"/>
        <v>0</v>
      </c>
      <c r="AT63" s="532">
        <f t="shared" si="25"/>
        <v>0</v>
      </c>
      <c r="AU63" s="532">
        <f t="shared" si="25"/>
        <v>0</v>
      </c>
      <c r="AV63" s="532">
        <f t="shared" si="25"/>
        <v>0</v>
      </c>
      <c r="AW63" s="532">
        <f t="shared" si="25"/>
        <v>0</v>
      </c>
      <c r="AX63" s="532">
        <f t="shared" si="25"/>
        <v>0</v>
      </c>
      <c r="AY63" s="532">
        <f t="shared" si="25"/>
        <v>0</v>
      </c>
      <c r="AZ63" s="532">
        <f t="shared" si="25"/>
        <v>0</v>
      </c>
    </row>
    <row r="64" spans="1:225" ht="13.5" thickTop="1">
      <c r="A64" s="533" t="s">
        <v>921</v>
      </c>
      <c r="B64" s="1663">
        <f t="shared" ref="B64:AZ64" si="26">B59</f>
        <v>0</v>
      </c>
      <c r="C64" s="1664">
        <f t="shared" si="26"/>
        <v>0</v>
      </c>
      <c r="D64" s="1665">
        <f t="shared" si="26"/>
        <v>0</v>
      </c>
      <c r="E64" s="1665">
        <f t="shared" si="26"/>
        <v>0</v>
      </c>
      <c r="F64" s="1665">
        <f t="shared" si="26"/>
        <v>0</v>
      </c>
      <c r="G64" s="1665">
        <f t="shared" si="26"/>
        <v>0</v>
      </c>
      <c r="H64" s="1665">
        <f t="shared" si="26"/>
        <v>0</v>
      </c>
      <c r="I64" s="1665">
        <f t="shared" si="26"/>
        <v>0</v>
      </c>
      <c r="J64" s="1665">
        <f t="shared" si="26"/>
        <v>0</v>
      </c>
      <c r="K64" s="1665">
        <f t="shared" si="26"/>
        <v>0</v>
      </c>
      <c r="L64" s="1665">
        <f t="shared" si="26"/>
        <v>0</v>
      </c>
      <c r="M64" s="1665">
        <f t="shared" si="26"/>
        <v>0</v>
      </c>
      <c r="N64" s="1665">
        <f t="shared" si="26"/>
        <v>0</v>
      </c>
      <c r="O64" s="1665">
        <f t="shared" si="26"/>
        <v>0</v>
      </c>
      <c r="P64" s="1665">
        <f t="shared" si="26"/>
        <v>0</v>
      </c>
      <c r="Q64" s="1665">
        <f t="shared" si="26"/>
        <v>0</v>
      </c>
      <c r="R64" s="1665">
        <f t="shared" si="26"/>
        <v>0</v>
      </c>
      <c r="S64" s="1665">
        <f t="shared" si="26"/>
        <v>0</v>
      </c>
      <c r="T64" s="1665">
        <f t="shared" si="26"/>
        <v>0</v>
      </c>
      <c r="U64" s="1665">
        <f t="shared" si="26"/>
        <v>0</v>
      </c>
      <c r="V64" s="1665">
        <f t="shared" si="26"/>
        <v>0</v>
      </c>
      <c r="W64" s="1665">
        <f t="shared" si="26"/>
        <v>0</v>
      </c>
      <c r="X64" s="1665">
        <f t="shared" si="26"/>
        <v>0</v>
      </c>
      <c r="Y64" s="1665">
        <f t="shared" si="26"/>
        <v>0</v>
      </c>
      <c r="Z64" s="1665">
        <f t="shared" si="26"/>
        <v>0</v>
      </c>
      <c r="AA64" s="1665">
        <f t="shared" si="26"/>
        <v>0</v>
      </c>
      <c r="AB64" s="1665">
        <f t="shared" si="26"/>
        <v>0</v>
      </c>
      <c r="AC64" s="1665">
        <f t="shared" si="26"/>
        <v>0</v>
      </c>
      <c r="AD64" s="1665">
        <f t="shared" si="26"/>
        <v>0</v>
      </c>
      <c r="AE64" s="1665">
        <f t="shared" si="26"/>
        <v>0</v>
      </c>
      <c r="AF64" s="1665">
        <f t="shared" si="26"/>
        <v>0</v>
      </c>
      <c r="AG64" s="1665">
        <f t="shared" si="26"/>
        <v>0</v>
      </c>
      <c r="AH64" s="1665">
        <f t="shared" si="26"/>
        <v>0</v>
      </c>
      <c r="AI64" s="1665">
        <f t="shared" si="26"/>
        <v>0</v>
      </c>
      <c r="AJ64" s="1665">
        <f t="shared" si="26"/>
        <v>0</v>
      </c>
      <c r="AK64" s="1665">
        <f t="shared" si="26"/>
        <v>0</v>
      </c>
      <c r="AL64" s="1665">
        <f t="shared" si="26"/>
        <v>0</v>
      </c>
      <c r="AM64" s="1665">
        <f t="shared" si="26"/>
        <v>0</v>
      </c>
      <c r="AN64" s="1665">
        <f t="shared" si="26"/>
        <v>0</v>
      </c>
      <c r="AO64" s="1665">
        <f t="shared" si="26"/>
        <v>0</v>
      </c>
      <c r="AP64" s="1665">
        <f t="shared" si="26"/>
        <v>0</v>
      </c>
      <c r="AQ64" s="1665">
        <f t="shared" si="26"/>
        <v>0</v>
      </c>
      <c r="AR64" s="1665">
        <f t="shared" si="26"/>
        <v>0</v>
      </c>
      <c r="AS64" s="1665">
        <f t="shared" si="26"/>
        <v>0</v>
      </c>
      <c r="AT64" s="1665">
        <f t="shared" si="26"/>
        <v>0</v>
      </c>
      <c r="AU64" s="1665">
        <f t="shared" si="26"/>
        <v>0</v>
      </c>
      <c r="AV64" s="1665">
        <f t="shared" si="26"/>
        <v>0</v>
      </c>
      <c r="AW64" s="1665">
        <f t="shared" si="26"/>
        <v>0</v>
      </c>
      <c r="AX64" s="1665">
        <f t="shared" si="26"/>
        <v>0</v>
      </c>
      <c r="AY64" s="1665">
        <f t="shared" si="26"/>
        <v>0</v>
      </c>
      <c r="AZ64" s="1665">
        <f t="shared" si="26"/>
        <v>0</v>
      </c>
    </row>
    <row r="65" spans="1:225">
      <c r="A65" s="464"/>
      <c r="B65" s="1666"/>
      <c r="C65" s="1667"/>
      <c r="D65" s="1667"/>
      <c r="E65" s="1667"/>
      <c r="F65" s="1667"/>
      <c r="G65" s="1667"/>
      <c r="H65" s="1667"/>
      <c r="I65" s="1667"/>
      <c r="J65" s="1667"/>
      <c r="K65" s="1667"/>
      <c r="L65" s="1667"/>
      <c r="M65" s="1667"/>
      <c r="N65" s="1667"/>
      <c r="O65" s="1667"/>
      <c r="P65" s="1667"/>
      <c r="Q65" s="1667"/>
      <c r="R65" s="1667"/>
      <c r="S65" s="1667"/>
      <c r="T65" s="1667"/>
      <c r="U65" s="1667"/>
      <c r="V65" s="1667"/>
      <c r="W65" s="1667"/>
      <c r="X65" s="1667"/>
      <c r="Y65" s="1667"/>
      <c r="Z65" s="1667"/>
      <c r="AA65" s="1667"/>
      <c r="AB65" s="1667"/>
      <c r="AC65" s="1667"/>
      <c r="AD65" s="1667"/>
      <c r="AE65" s="1667"/>
      <c r="AF65" s="1667"/>
      <c r="AG65" s="1667"/>
      <c r="AH65" s="1667"/>
      <c r="AI65" s="1667"/>
      <c r="AJ65" s="1667"/>
      <c r="AK65" s="1667"/>
      <c r="AL65" s="1667"/>
      <c r="AM65" s="1667"/>
      <c r="AN65" s="1667"/>
      <c r="AO65" s="1667"/>
      <c r="AP65" s="1667"/>
      <c r="AQ65" s="1667"/>
      <c r="AR65" s="1667"/>
      <c r="AS65" s="1667"/>
      <c r="AT65" s="1667"/>
      <c r="AU65" s="1667"/>
      <c r="AV65" s="1667"/>
      <c r="AW65" s="1667"/>
      <c r="AX65" s="1667"/>
      <c r="AY65" s="1667"/>
      <c r="AZ65" s="1668"/>
    </row>
    <row r="66" spans="1:225" s="685" customFormat="1" ht="13.7" customHeight="1">
      <c r="A66" s="534" t="s">
        <v>175</v>
      </c>
      <c r="B66" s="1669">
        <f>Setup!L16</f>
        <v>0.8</v>
      </c>
      <c r="C66" s="1670">
        <f t="shared" ref="C66:AZ66" si="27">B66</f>
        <v>0.8</v>
      </c>
      <c r="D66" s="1671">
        <f t="shared" si="27"/>
        <v>0.8</v>
      </c>
      <c r="E66" s="1671">
        <f t="shared" si="27"/>
        <v>0.8</v>
      </c>
      <c r="F66" s="1671">
        <f t="shared" si="27"/>
        <v>0.8</v>
      </c>
      <c r="G66" s="1671">
        <f t="shared" si="27"/>
        <v>0.8</v>
      </c>
      <c r="H66" s="1671">
        <f t="shared" si="27"/>
        <v>0.8</v>
      </c>
      <c r="I66" s="1671">
        <f t="shared" si="27"/>
        <v>0.8</v>
      </c>
      <c r="J66" s="1671">
        <f t="shared" si="27"/>
        <v>0.8</v>
      </c>
      <c r="K66" s="1671">
        <f t="shared" si="27"/>
        <v>0.8</v>
      </c>
      <c r="L66" s="1671">
        <f t="shared" si="27"/>
        <v>0.8</v>
      </c>
      <c r="M66" s="1671">
        <f t="shared" si="27"/>
        <v>0.8</v>
      </c>
      <c r="N66" s="1671">
        <f t="shared" si="27"/>
        <v>0.8</v>
      </c>
      <c r="O66" s="1671">
        <f t="shared" si="27"/>
        <v>0.8</v>
      </c>
      <c r="P66" s="1671">
        <f t="shared" si="27"/>
        <v>0.8</v>
      </c>
      <c r="Q66" s="1671">
        <f t="shared" si="27"/>
        <v>0.8</v>
      </c>
      <c r="R66" s="1671">
        <f t="shared" si="27"/>
        <v>0.8</v>
      </c>
      <c r="S66" s="1671">
        <f t="shared" si="27"/>
        <v>0.8</v>
      </c>
      <c r="T66" s="1671">
        <f t="shared" si="27"/>
        <v>0.8</v>
      </c>
      <c r="U66" s="1671">
        <f t="shared" si="27"/>
        <v>0.8</v>
      </c>
      <c r="V66" s="1671">
        <f t="shared" si="27"/>
        <v>0.8</v>
      </c>
      <c r="W66" s="1671">
        <f t="shared" si="27"/>
        <v>0.8</v>
      </c>
      <c r="X66" s="1671">
        <f t="shared" si="27"/>
        <v>0.8</v>
      </c>
      <c r="Y66" s="1671">
        <f t="shared" si="27"/>
        <v>0.8</v>
      </c>
      <c r="Z66" s="1671">
        <f t="shared" si="27"/>
        <v>0.8</v>
      </c>
      <c r="AA66" s="1671">
        <f t="shared" si="27"/>
        <v>0.8</v>
      </c>
      <c r="AB66" s="1671">
        <f t="shared" si="27"/>
        <v>0.8</v>
      </c>
      <c r="AC66" s="1671">
        <f t="shared" si="27"/>
        <v>0.8</v>
      </c>
      <c r="AD66" s="1671">
        <f t="shared" si="27"/>
        <v>0.8</v>
      </c>
      <c r="AE66" s="1671">
        <f t="shared" si="27"/>
        <v>0.8</v>
      </c>
      <c r="AF66" s="1671">
        <f t="shared" si="27"/>
        <v>0.8</v>
      </c>
      <c r="AG66" s="1671">
        <f t="shared" si="27"/>
        <v>0.8</v>
      </c>
      <c r="AH66" s="1671">
        <f t="shared" si="27"/>
        <v>0.8</v>
      </c>
      <c r="AI66" s="1671">
        <f t="shared" si="27"/>
        <v>0.8</v>
      </c>
      <c r="AJ66" s="1671">
        <f t="shared" si="27"/>
        <v>0.8</v>
      </c>
      <c r="AK66" s="1671">
        <f t="shared" si="27"/>
        <v>0.8</v>
      </c>
      <c r="AL66" s="1671">
        <f t="shared" si="27"/>
        <v>0.8</v>
      </c>
      <c r="AM66" s="1671">
        <f t="shared" si="27"/>
        <v>0.8</v>
      </c>
      <c r="AN66" s="1671">
        <f t="shared" si="27"/>
        <v>0.8</v>
      </c>
      <c r="AO66" s="1671">
        <f t="shared" si="27"/>
        <v>0.8</v>
      </c>
      <c r="AP66" s="1671">
        <f t="shared" si="27"/>
        <v>0.8</v>
      </c>
      <c r="AQ66" s="1671">
        <f t="shared" si="27"/>
        <v>0.8</v>
      </c>
      <c r="AR66" s="1671">
        <f t="shared" si="27"/>
        <v>0.8</v>
      </c>
      <c r="AS66" s="1671">
        <f t="shared" si="27"/>
        <v>0.8</v>
      </c>
      <c r="AT66" s="1671">
        <f t="shared" si="27"/>
        <v>0.8</v>
      </c>
      <c r="AU66" s="1671">
        <f t="shared" si="27"/>
        <v>0.8</v>
      </c>
      <c r="AV66" s="1671">
        <f t="shared" si="27"/>
        <v>0.8</v>
      </c>
      <c r="AW66" s="1671">
        <f t="shared" si="27"/>
        <v>0.8</v>
      </c>
      <c r="AX66" s="1671">
        <f t="shared" si="27"/>
        <v>0.8</v>
      </c>
      <c r="AY66" s="1671">
        <f t="shared" si="27"/>
        <v>0.8</v>
      </c>
      <c r="AZ66" s="1671">
        <f t="shared" si="27"/>
        <v>0.8</v>
      </c>
      <c r="BA66" s="535"/>
      <c r="BB66" s="535"/>
      <c r="BC66" s="535"/>
      <c r="BD66" s="535"/>
      <c r="BE66" s="535"/>
      <c r="BF66" s="535"/>
      <c r="BG66" s="535"/>
      <c r="BH66" s="535"/>
      <c r="BI66" s="535"/>
      <c r="BJ66" s="535"/>
      <c r="BK66" s="535"/>
      <c r="BL66" s="535"/>
      <c r="BM66" s="535"/>
      <c r="BN66" s="535"/>
      <c r="BO66" s="535"/>
      <c r="BP66" s="535"/>
      <c r="BQ66" s="535"/>
      <c r="BR66" s="535"/>
      <c r="BS66" s="535"/>
      <c r="BT66" s="535"/>
      <c r="BU66" s="535"/>
      <c r="BV66" s="535"/>
      <c r="BW66" s="535"/>
      <c r="BX66" s="535"/>
      <c r="BY66" s="535"/>
      <c r="BZ66" s="535"/>
      <c r="CA66" s="535"/>
      <c r="CB66" s="535"/>
      <c r="CC66" s="535"/>
      <c r="CD66" s="535"/>
      <c r="CE66" s="535"/>
      <c r="CF66" s="535"/>
      <c r="CG66" s="535"/>
      <c r="CH66" s="535"/>
      <c r="CI66" s="535"/>
      <c r="CJ66" s="535"/>
      <c r="CK66" s="535"/>
      <c r="CL66" s="535"/>
      <c r="CM66" s="535"/>
      <c r="CN66" s="535"/>
      <c r="CO66" s="535"/>
      <c r="CP66" s="535"/>
      <c r="CQ66" s="535"/>
      <c r="CR66" s="535"/>
      <c r="CS66" s="535"/>
      <c r="CT66" s="535"/>
      <c r="CU66" s="535"/>
      <c r="CV66" s="535"/>
      <c r="CW66" s="535"/>
      <c r="CX66" s="535"/>
      <c r="CY66" s="535"/>
      <c r="CZ66" s="535"/>
      <c r="DA66" s="535"/>
      <c r="DB66" s="535"/>
      <c r="DC66" s="535"/>
      <c r="DD66" s="535"/>
      <c r="DE66" s="535"/>
      <c r="DF66" s="535"/>
      <c r="DG66" s="535"/>
      <c r="DH66" s="535"/>
      <c r="DI66" s="535"/>
      <c r="DJ66" s="535"/>
      <c r="DK66" s="535"/>
      <c r="DL66" s="535"/>
      <c r="DM66" s="535"/>
      <c r="DN66" s="535"/>
      <c r="DO66" s="535"/>
      <c r="DP66" s="535"/>
      <c r="DQ66" s="535"/>
      <c r="DR66" s="535"/>
      <c r="DS66" s="535"/>
      <c r="DT66" s="535"/>
      <c r="DU66" s="535"/>
      <c r="DV66" s="535"/>
      <c r="DW66" s="535"/>
      <c r="DX66" s="535"/>
      <c r="DY66" s="535"/>
      <c r="DZ66" s="535"/>
      <c r="EA66" s="535"/>
      <c r="EB66" s="535"/>
      <c r="EC66" s="535"/>
      <c r="ED66" s="535"/>
      <c r="EE66" s="535"/>
      <c r="EF66" s="535"/>
      <c r="EG66" s="535"/>
      <c r="EH66" s="535"/>
      <c r="EI66" s="535"/>
      <c r="EJ66" s="535"/>
      <c r="EK66" s="535"/>
      <c r="EL66" s="535"/>
      <c r="EM66" s="535"/>
      <c r="EN66" s="535"/>
      <c r="EO66" s="535"/>
      <c r="EP66" s="535"/>
      <c r="EQ66" s="535"/>
      <c r="ER66" s="535"/>
      <c r="ES66" s="535"/>
      <c r="ET66" s="535"/>
      <c r="EU66" s="535"/>
      <c r="EV66" s="535"/>
      <c r="EW66" s="535"/>
      <c r="EX66" s="535"/>
      <c r="EY66" s="535"/>
      <c r="EZ66" s="535"/>
      <c r="FA66" s="535"/>
      <c r="FB66" s="535"/>
      <c r="FC66" s="535"/>
      <c r="FD66" s="535"/>
      <c r="FE66" s="535"/>
      <c r="FF66" s="535"/>
      <c r="FG66" s="535"/>
      <c r="FH66" s="535"/>
      <c r="FI66" s="535"/>
      <c r="FJ66" s="535"/>
      <c r="FK66" s="535"/>
      <c r="FL66" s="535"/>
      <c r="FM66" s="535"/>
      <c r="FN66" s="535"/>
      <c r="FO66" s="535"/>
      <c r="FP66" s="535"/>
      <c r="FQ66" s="535"/>
      <c r="FR66" s="535"/>
      <c r="FS66" s="535"/>
      <c r="FT66" s="535"/>
      <c r="FU66" s="535"/>
      <c r="FV66" s="535"/>
      <c r="FW66" s="535"/>
      <c r="FX66" s="535"/>
      <c r="FY66" s="535"/>
      <c r="FZ66" s="535"/>
      <c r="GA66" s="535"/>
      <c r="GB66" s="535"/>
      <c r="GC66" s="535"/>
      <c r="GD66" s="535"/>
      <c r="GE66" s="535"/>
      <c r="GF66" s="535"/>
      <c r="GG66" s="535"/>
      <c r="GH66" s="535"/>
      <c r="GI66" s="535"/>
      <c r="GJ66" s="535"/>
      <c r="GK66" s="535"/>
      <c r="GL66" s="535"/>
      <c r="GM66" s="535"/>
      <c r="GN66" s="535"/>
      <c r="GO66" s="535"/>
      <c r="GP66" s="535"/>
      <c r="GQ66" s="535"/>
      <c r="GR66" s="535"/>
      <c r="GS66" s="535"/>
      <c r="GT66" s="535"/>
      <c r="GU66" s="535"/>
      <c r="GV66" s="535"/>
      <c r="GW66" s="535"/>
      <c r="GX66" s="535"/>
      <c r="GY66" s="535"/>
      <c r="GZ66" s="535"/>
      <c r="HA66" s="535"/>
      <c r="HB66" s="535"/>
      <c r="HC66" s="535"/>
      <c r="HD66" s="535"/>
      <c r="HE66" s="535"/>
      <c r="HF66" s="535"/>
      <c r="HG66" s="535"/>
      <c r="HH66" s="535"/>
      <c r="HI66" s="535"/>
      <c r="HJ66" s="535"/>
      <c r="HK66" s="535"/>
      <c r="HL66" s="535"/>
      <c r="HM66" s="535"/>
      <c r="HN66" s="535"/>
      <c r="HO66" s="535"/>
      <c r="HP66" s="535"/>
      <c r="HQ66" s="535"/>
    </row>
    <row r="67" spans="1:225" s="288" customFormat="1">
      <c r="A67" s="1672" t="s">
        <v>922</v>
      </c>
      <c r="B67" s="1673">
        <f>ROUND(B64*B66*10,0)</f>
        <v>0</v>
      </c>
      <c r="C67" s="1674">
        <f>C64*C66*10</f>
        <v>0</v>
      </c>
      <c r="D67" s="1675">
        <f t="shared" ref="D67:AZ67" si="28">D64*D66*10</f>
        <v>0</v>
      </c>
      <c r="E67" s="1675">
        <f t="shared" si="28"/>
        <v>0</v>
      </c>
      <c r="F67" s="1675">
        <f t="shared" si="28"/>
        <v>0</v>
      </c>
      <c r="G67" s="1675">
        <f t="shared" si="28"/>
        <v>0</v>
      </c>
      <c r="H67" s="1675">
        <f t="shared" si="28"/>
        <v>0</v>
      </c>
      <c r="I67" s="1675">
        <f t="shared" si="28"/>
        <v>0</v>
      </c>
      <c r="J67" s="1675">
        <f t="shared" si="28"/>
        <v>0</v>
      </c>
      <c r="K67" s="1675">
        <f t="shared" si="28"/>
        <v>0</v>
      </c>
      <c r="L67" s="1675">
        <f t="shared" si="28"/>
        <v>0</v>
      </c>
      <c r="M67" s="1675">
        <f t="shared" si="28"/>
        <v>0</v>
      </c>
      <c r="N67" s="1675">
        <f t="shared" si="28"/>
        <v>0</v>
      </c>
      <c r="O67" s="1675">
        <f t="shared" si="28"/>
        <v>0</v>
      </c>
      <c r="P67" s="1675">
        <f t="shared" si="28"/>
        <v>0</v>
      </c>
      <c r="Q67" s="1675">
        <f t="shared" si="28"/>
        <v>0</v>
      </c>
      <c r="R67" s="1675">
        <f t="shared" si="28"/>
        <v>0</v>
      </c>
      <c r="S67" s="1675">
        <f t="shared" si="28"/>
        <v>0</v>
      </c>
      <c r="T67" s="1675">
        <f t="shared" si="28"/>
        <v>0</v>
      </c>
      <c r="U67" s="1675">
        <f t="shared" si="28"/>
        <v>0</v>
      </c>
      <c r="V67" s="1675">
        <f t="shared" si="28"/>
        <v>0</v>
      </c>
      <c r="W67" s="1675">
        <f t="shared" si="28"/>
        <v>0</v>
      </c>
      <c r="X67" s="1675">
        <f t="shared" si="28"/>
        <v>0</v>
      </c>
      <c r="Y67" s="1675">
        <f t="shared" si="28"/>
        <v>0</v>
      </c>
      <c r="Z67" s="1675">
        <f t="shared" si="28"/>
        <v>0</v>
      </c>
      <c r="AA67" s="1675">
        <f t="shared" si="28"/>
        <v>0</v>
      </c>
      <c r="AB67" s="1675">
        <f t="shared" si="28"/>
        <v>0</v>
      </c>
      <c r="AC67" s="1675">
        <f t="shared" si="28"/>
        <v>0</v>
      </c>
      <c r="AD67" s="1675">
        <f t="shared" si="28"/>
        <v>0</v>
      </c>
      <c r="AE67" s="1675">
        <f t="shared" si="28"/>
        <v>0</v>
      </c>
      <c r="AF67" s="1675">
        <f t="shared" si="28"/>
        <v>0</v>
      </c>
      <c r="AG67" s="1675">
        <f t="shared" si="28"/>
        <v>0</v>
      </c>
      <c r="AH67" s="1675">
        <f t="shared" si="28"/>
        <v>0</v>
      </c>
      <c r="AI67" s="1675">
        <f t="shared" si="28"/>
        <v>0</v>
      </c>
      <c r="AJ67" s="1675">
        <f t="shared" si="28"/>
        <v>0</v>
      </c>
      <c r="AK67" s="1675">
        <f t="shared" si="28"/>
        <v>0</v>
      </c>
      <c r="AL67" s="1675">
        <f t="shared" si="28"/>
        <v>0</v>
      </c>
      <c r="AM67" s="1675">
        <f t="shared" si="28"/>
        <v>0</v>
      </c>
      <c r="AN67" s="1675">
        <f t="shared" si="28"/>
        <v>0</v>
      </c>
      <c r="AO67" s="1675">
        <f t="shared" si="28"/>
        <v>0</v>
      </c>
      <c r="AP67" s="1675">
        <f t="shared" si="28"/>
        <v>0</v>
      </c>
      <c r="AQ67" s="1675">
        <f t="shared" si="28"/>
        <v>0</v>
      </c>
      <c r="AR67" s="1675">
        <f t="shared" si="28"/>
        <v>0</v>
      </c>
      <c r="AS67" s="1675">
        <f t="shared" si="28"/>
        <v>0</v>
      </c>
      <c r="AT67" s="1675">
        <f t="shared" si="28"/>
        <v>0</v>
      </c>
      <c r="AU67" s="1675">
        <f t="shared" si="28"/>
        <v>0</v>
      </c>
      <c r="AV67" s="1675">
        <f t="shared" si="28"/>
        <v>0</v>
      </c>
      <c r="AW67" s="1675">
        <f t="shared" si="28"/>
        <v>0</v>
      </c>
      <c r="AX67" s="1675">
        <f t="shared" si="28"/>
        <v>0</v>
      </c>
      <c r="AY67" s="1675">
        <f t="shared" si="28"/>
        <v>0</v>
      </c>
      <c r="AZ67" s="1675">
        <f t="shared" si="28"/>
        <v>0</v>
      </c>
      <c r="BA67" s="1570"/>
      <c r="BB67" s="1570"/>
      <c r="BC67" s="1570"/>
      <c r="BD67" s="1570"/>
      <c r="BE67" s="1570"/>
      <c r="BF67" s="1570"/>
      <c r="BG67" s="1570"/>
      <c r="BH67" s="1570"/>
      <c r="BI67" s="1570"/>
      <c r="BJ67" s="1570"/>
      <c r="BK67" s="1570"/>
      <c r="BL67" s="1570"/>
      <c r="BM67" s="1570"/>
      <c r="BN67" s="1570"/>
      <c r="BO67" s="1570"/>
      <c r="BP67" s="1570"/>
      <c r="BQ67" s="1570"/>
      <c r="BR67" s="1570"/>
      <c r="BS67" s="1570"/>
      <c r="BT67" s="1570"/>
      <c r="BU67" s="1570"/>
      <c r="BV67" s="1570"/>
      <c r="BW67" s="1570"/>
      <c r="BX67" s="1570"/>
      <c r="BY67" s="1570"/>
      <c r="BZ67" s="1570"/>
      <c r="CA67" s="1570"/>
      <c r="CB67" s="1570"/>
      <c r="CC67" s="1570"/>
      <c r="CD67" s="1570"/>
      <c r="CE67" s="1570"/>
      <c r="CF67" s="1570"/>
      <c r="CG67" s="1570"/>
      <c r="CH67" s="1570"/>
      <c r="CI67" s="1570"/>
      <c r="CJ67" s="1570"/>
      <c r="CK67" s="1570"/>
      <c r="CL67" s="1570"/>
      <c r="CM67" s="1570"/>
      <c r="CN67" s="1570"/>
      <c r="CO67" s="1570"/>
      <c r="CP67" s="1570"/>
      <c r="CQ67" s="1570"/>
      <c r="CR67" s="1570"/>
      <c r="CS67" s="1570"/>
      <c r="CT67" s="1570"/>
      <c r="CU67" s="1570"/>
      <c r="CV67" s="1570"/>
      <c r="CW67" s="1570"/>
      <c r="CX67" s="1570"/>
      <c r="CY67" s="1570"/>
      <c r="CZ67" s="1570"/>
      <c r="DA67" s="1570"/>
      <c r="DB67" s="1570"/>
      <c r="DC67" s="1570"/>
      <c r="DD67" s="1570"/>
      <c r="DE67" s="1570"/>
      <c r="DF67" s="1570"/>
      <c r="DG67" s="1570"/>
      <c r="DH67" s="1570"/>
      <c r="DI67" s="1570"/>
      <c r="DJ67" s="1570"/>
      <c r="DK67" s="1570"/>
      <c r="DL67" s="1570"/>
      <c r="DM67" s="1570"/>
      <c r="DN67" s="1570"/>
      <c r="DO67" s="1570"/>
      <c r="DP67" s="1570"/>
      <c r="DQ67" s="1570"/>
      <c r="DR67" s="1570"/>
      <c r="DS67" s="1570"/>
      <c r="DT67" s="1570"/>
      <c r="DU67" s="1570"/>
      <c r="DV67" s="1570"/>
      <c r="DW67" s="1570"/>
      <c r="DX67" s="1570"/>
      <c r="DY67" s="1570"/>
      <c r="DZ67" s="1570"/>
      <c r="EA67" s="1570"/>
      <c r="EB67" s="1570"/>
      <c r="EC67" s="1570"/>
      <c r="ED67" s="1570"/>
      <c r="EE67" s="1570"/>
      <c r="EF67" s="1570"/>
      <c r="EG67" s="1570"/>
      <c r="EH67" s="1570"/>
      <c r="EI67" s="1570"/>
      <c r="EJ67" s="1570"/>
      <c r="EK67" s="1570"/>
      <c r="EL67" s="1570"/>
      <c r="EM67" s="1570"/>
      <c r="EN67" s="1570"/>
      <c r="EO67" s="1570"/>
      <c r="EP67" s="1570"/>
      <c r="EQ67" s="1570"/>
      <c r="ER67" s="1570"/>
      <c r="ES67" s="1570"/>
      <c r="ET67" s="1570"/>
      <c r="EU67" s="1570"/>
      <c r="EV67" s="1570"/>
      <c r="EW67" s="1570"/>
      <c r="EX67" s="1570"/>
      <c r="EY67" s="1570"/>
      <c r="EZ67" s="1570"/>
      <c r="FA67" s="1570"/>
      <c r="FB67" s="1570"/>
      <c r="FC67" s="1570"/>
      <c r="FD67" s="1570"/>
      <c r="FE67" s="1570"/>
      <c r="FF67" s="1570"/>
      <c r="FG67" s="1570"/>
      <c r="FH67" s="1570"/>
      <c r="FI67" s="1570"/>
      <c r="FJ67" s="1570"/>
      <c r="FK67" s="1570"/>
      <c r="FL67" s="1570"/>
      <c r="FM67" s="1570"/>
      <c r="FN67" s="1570"/>
      <c r="FO67" s="1570"/>
      <c r="FP67" s="1570"/>
      <c r="FQ67" s="1570"/>
      <c r="FR67" s="1570"/>
      <c r="FS67" s="1570"/>
      <c r="FT67" s="1570"/>
      <c r="FU67" s="1570"/>
      <c r="FV67" s="1570"/>
      <c r="FW67" s="1570"/>
      <c r="FX67" s="1570"/>
      <c r="FY67" s="1570"/>
      <c r="FZ67" s="1570"/>
      <c r="GA67" s="1570"/>
      <c r="GB67" s="1570"/>
      <c r="GC67" s="1570"/>
      <c r="GD67" s="1570"/>
      <c r="GE67" s="1570"/>
      <c r="GF67" s="1570"/>
      <c r="GG67" s="1570"/>
      <c r="GH67" s="1570"/>
      <c r="GI67" s="1570"/>
      <c r="GJ67" s="1570"/>
      <c r="GK67" s="1570"/>
      <c r="GL67" s="1570"/>
      <c r="GM67" s="1570"/>
      <c r="GN67" s="1570"/>
      <c r="GO67" s="1570"/>
      <c r="GP67" s="1570"/>
      <c r="GQ67" s="1570"/>
      <c r="GR67" s="1570"/>
      <c r="GS67" s="1570"/>
      <c r="GT67" s="1570"/>
      <c r="GU67" s="1570"/>
      <c r="GV67" s="1570"/>
      <c r="GW67" s="1570"/>
      <c r="GX67" s="1570"/>
      <c r="GY67" s="1570"/>
      <c r="GZ67" s="1570"/>
      <c r="HA67" s="1570"/>
      <c r="HB67" s="1570"/>
      <c r="HC67" s="1570"/>
      <c r="HD67" s="1570"/>
      <c r="HE67" s="1570"/>
      <c r="HF67" s="1570"/>
      <c r="HG67" s="1570"/>
      <c r="HH67" s="1570"/>
      <c r="HI67" s="1570"/>
      <c r="HJ67" s="1570"/>
      <c r="HK67" s="1570"/>
      <c r="HL67" s="1570"/>
      <c r="HM67" s="1570"/>
      <c r="HN67" s="1570"/>
      <c r="HO67" s="1570"/>
      <c r="HP67" s="1570"/>
      <c r="HQ67" s="1570"/>
    </row>
    <row r="68" spans="1:225">
      <c r="A68" s="464"/>
      <c r="B68" s="1657"/>
      <c r="C68" s="296"/>
      <c r="D68" s="527"/>
      <c r="E68" s="527"/>
      <c r="F68" s="527"/>
      <c r="G68" s="297"/>
      <c r="H68" s="297"/>
      <c r="I68" s="297"/>
      <c r="J68" s="298"/>
      <c r="K68" s="1459"/>
      <c r="L68" s="298"/>
      <c r="M68" s="297"/>
      <c r="N68" s="297"/>
      <c r="O68" s="297"/>
      <c r="P68" s="297"/>
      <c r="Q68" s="297"/>
      <c r="R68" s="298"/>
      <c r="S68" s="297"/>
      <c r="T68" s="297"/>
      <c r="U68" s="297"/>
      <c r="V68" s="528"/>
      <c r="W68" s="298"/>
      <c r="X68" s="298"/>
      <c r="Y68" s="298"/>
      <c r="Z68" s="298"/>
      <c r="AA68" s="298"/>
      <c r="AB68" s="298"/>
      <c r="AC68" s="298"/>
      <c r="AD68" s="298"/>
      <c r="AE68" s="298"/>
      <c r="AF68" s="298"/>
      <c r="AG68" s="298"/>
      <c r="AH68" s="298"/>
      <c r="AI68" s="298"/>
      <c r="AJ68" s="298"/>
      <c r="AK68" s="298"/>
      <c r="AL68" s="298"/>
      <c r="AM68" s="298"/>
      <c r="AN68" s="298"/>
      <c r="AO68" s="298"/>
      <c r="AP68" s="298"/>
      <c r="AQ68" s="298"/>
      <c r="AR68" s="298"/>
      <c r="AS68" s="298"/>
      <c r="AT68" s="298"/>
      <c r="AU68" s="298"/>
      <c r="AV68" s="298"/>
      <c r="AW68" s="298"/>
      <c r="AX68" s="298"/>
      <c r="AY68" s="298"/>
      <c r="AZ68" s="715"/>
    </row>
    <row r="69" spans="1:225" s="682" customFormat="1">
      <c r="A69" s="1676" t="s">
        <v>923</v>
      </c>
      <c r="B69" s="1677" t="str">
        <f>IF(Setup!L18="Yes","","No HTCs")</f>
        <v>No HTCs</v>
      </c>
      <c r="C69" s="1604"/>
      <c r="D69" s="1604"/>
      <c r="E69" s="1604"/>
      <c r="F69" s="1604"/>
      <c r="G69" s="1604"/>
      <c r="H69" s="1604"/>
      <c r="I69" s="1604"/>
      <c r="J69" s="1604"/>
      <c r="K69" s="1604"/>
      <c r="L69" s="1604"/>
      <c r="M69" s="1604"/>
      <c r="N69" s="1604"/>
      <c r="O69" s="1604"/>
      <c r="P69" s="1604"/>
      <c r="Q69" s="1604"/>
      <c r="R69" s="1604"/>
      <c r="S69" s="1604"/>
      <c r="T69" s="1604"/>
      <c r="U69" s="1604"/>
      <c r="V69" s="1604"/>
      <c r="W69" s="1604"/>
      <c r="X69" s="1604"/>
      <c r="Y69" s="1604"/>
      <c r="Z69" s="1604"/>
      <c r="AA69" s="1604"/>
      <c r="AB69" s="1604"/>
      <c r="AC69" s="1604"/>
      <c r="AD69" s="1604"/>
      <c r="AE69" s="1604"/>
      <c r="AF69" s="1604"/>
      <c r="AG69" s="1604"/>
      <c r="AH69" s="1604"/>
      <c r="AI69" s="1604"/>
      <c r="AJ69" s="1604"/>
      <c r="AK69" s="1604"/>
      <c r="AL69" s="1604"/>
      <c r="AM69" s="1604"/>
      <c r="AN69" s="1604"/>
      <c r="AO69" s="1604"/>
      <c r="AP69" s="1604"/>
      <c r="AQ69" s="1604"/>
      <c r="AR69" s="1604"/>
      <c r="AS69" s="1604"/>
      <c r="AT69" s="1604"/>
      <c r="AU69" s="1604"/>
      <c r="AV69" s="1604"/>
      <c r="AW69" s="1604"/>
      <c r="AX69" s="1604"/>
      <c r="AY69" s="1604"/>
      <c r="AZ69" s="1619"/>
      <c r="BA69" s="1570"/>
      <c r="BB69" s="1570"/>
      <c r="BC69" s="1570"/>
      <c r="BD69" s="1570"/>
      <c r="BE69" s="1570"/>
      <c r="BF69" s="1570"/>
      <c r="BG69" s="1570"/>
      <c r="BH69" s="1570"/>
      <c r="BI69" s="1570"/>
      <c r="BJ69" s="1570"/>
      <c r="BK69" s="1570"/>
      <c r="BL69" s="1570"/>
      <c r="BM69" s="1570"/>
      <c r="BN69" s="1570"/>
      <c r="BO69" s="1570"/>
      <c r="BP69" s="1570"/>
      <c r="BQ69" s="1570"/>
      <c r="BR69" s="1570"/>
      <c r="BS69" s="1570"/>
      <c r="BT69" s="1570"/>
      <c r="BU69" s="1570"/>
      <c r="BV69" s="1570"/>
      <c r="BW69" s="1570"/>
      <c r="BX69" s="1570"/>
      <c r="BY69" s="1570"/>
      <c r="BZ69" s="1570"/>
      <c r="CA69" s="1570"/>
      <c r="CB69" s="1570"/>
      <c r="CC69" s="1570"/>
      <c r="CD69" s="1570"/>
      <c r="CE69" s="1570"/>
      <c r="CF69" s="1570"/>
      <c r="CG69" s="1570"/>
      <c r="CH69" s="1570"/>
      <c r="CI69" s="1570"/>
      <c r="CJ69" s="1570"/>
      <c r="CK69" s="1570"/>
      <c r="CL69" s="1570"/>
      <c r="CM69" s="1570"/>
      <c r="CN69" s="1570"/>
      <c r="CO69" s="1570"/>
      <c r="CP69" s="1570"/>
      <c r="CQ69" s="1570"/>
      <c r="CR69" s="1570"/>
      <c r="CS69" s="1570"/>
      <c r="CT69" s="1570"/>
      <c r="CU69" s="1570"/>
      <c r="CV69" s="1570"/>
      <c r="CW69" s="1570"/>
      <c r="CX69" s="1570"/>
      <c r="CY69" s="1570"/>
      <c r="CZ69" s="1570"/>
      <c r="DA69" s="1570"/>
      <c r="DB69" s="1570"/>
      <c r="DC69" s="1570"/>
      <c r="DD69" s="1570"/>
      <c r="DE69" s="1570"/>
      <c r="DF69" s="1570"/>
      <c r="DG69" s="1570"/>
      <c r="DH69" s="1570"/>
      <c r="DI69" s="1570"/>
      <c r="DJ69" s="1570"/>
      <c r="DK69" s="1570"/>
      <c r="DL69" s="1570"/>
      <c r="DM69" s="1570"/>
      <c r="DN69" s="1570"/>
      <c r="DO69" s="1570"/>
      <c r="DP69" s="1570"/>
      <c r="DQ69" s="1570"/>
      <c r="DR69" s="1570"/>
      <c r="DS69" s="1570"/>
      <c r="DT69" s="1570"/>
      <c r="DU69" s="1570"/>
      <c r="DV69" s="1570"/>
      <c r="DW69" s="1570"/>
      <c r="DX69" s="1570"/>
      <c r="DY69" s="1570"/>
      <c r="DZ69" s="1570"/>
      <c r="EA69" s="1570"/>
      <c r="EB69" s="1570"/>
      <c r="EC69" s="1570"/>
      <c r="ED69" s="1570"/>
      <c r="EE69" s="1570"/>
      <c r="EF69" s="1570"/>
      <c r="EG69" s="1570"/>
      <c r="EH69" s="1570"/>
      <c r="EI69" s="1570"/>
      <c r="EJ69" s="1570"/>
      <c r="EK69" s="1570"/>
      <c r="EL69" s="1570"/>
      <c r="EM69" s="1570"/>
      <c r="EN69" s="1570"/>
      <c r="EO69" s="1570"/>
      <c r="EP69" s="1570"/>
      <c r="EQ69" s="1570"/>
      <c r="ER69" s="1570"/>
      <c r="ES69" s="1570"/>
      <c r="ET69" s="1570"/>
      <c r="EU69" s="1570"/>
      <c r="EV69" s="1570"/>
      <c r="EW69" s="1570"/>
      <c r="EX69" s="1570"/>
      <c r="EY69" s="1570"/>
      <c r="EZ69" s="1570"/>
      <c r="FA69" s="1570"/>
      <c r="FB69" s="1570"/>
      <c r="FC69" s="1570"/>
      <c r="FD69" s="1570"/>
      <c r="FE69" s="1570"/>
      <c r="FF69" s="1570"/>
      <c r="FG69" s="1570"/>
      <c r="FH69" s="1570"/>
      <c r="FI69" s="1570"/>
      <c r="FJ69" s="1570"/>
      <c r="FK69" s="1570"/>
      <c r="FL69" s="1570"/>
      <c r="FM69" s="1570"/>
      <c r="FN69" s="1570"/>
      <c r="FO69" s="1570"/>
      <c r="FP69" s="1570"/>
      <c r="FQ69" s="1570"/>
      <c r="FR69" s="1570"/>
      <c r="FS69" s="1570"/>
      <c r="FT69" s="1570"/>
      <c r="FU69" s="1570"/>
      <c r="FV69" s="1570"/>
      <c r="FW69" s="1570"/>
      <c r="FX69" s="1570"/>
      <c r="FY69" s="1570"/>
      <c r="FZ69" s="1570"/>
      <c r="GA69" s="1570"/>
      <c r="GB69" s="1570"/>
      <c r="GC69" s="1570"/>
      <c r="GD69" s="1570"/>
      <c r="GE69" s="1570"/>
      <c r="GF69" s="1570"/>
      <c r="GG69" s="1570"/>
      <c r="GH69" s="1570"/>
      <c r="GI69" s="1570"/>
      <c r="GJ69" s="1570"/>
      <c r="GK69" s="1570"/>
      <c r="GL69" s="1570"/>
      <c r="GM69" s="1570"/>
      <c r="GN69" s="1570"/>
      <c r="GO69" s="1570"/>
      <c r="GP69" s="1570"/>
      <c r="GQ69" s="1570"/>
      <c r="GR69" s="1570"/>
      <c r="GS69" s="1570"/>
      <c r="GT69" s="1570"/>
      <c r="GU69" s="1570"/>
      <c r="GV69" s="1570"/>
      <c r="GW69" s="1570"/>
      <c r="GX69" s="1570"/>
      <c r="GY69" s="1570"/>
      <c r="GZ69" s="1570"/>
      <c r="HA69" s="1570"/>
      <c r="HB69" s="1570"/>
      <c r="HC69" s="1570"/>
      <c r="HD69" s="1570"/>
      <c r="HE69" s="1570"/>
      <c r="HF69" s="1570"/>
      <c r="HG69" s="1570"/>
      <c r="HH69" s="1570"/>
      <c r="HI69" s="1570"/>
      <c r="HJ69" s="1570"/>
      <c r="HK69" s="1570"/>
      <c r="HL69" s="1570"/>
      <c r="HM69" s="1570"/>
      <c r="HN69" s="1570"/>
      <c r="HO69" s="1570"/>
      <c r="HP69" s="1570"/>
      <c r="HQ69" s="1570"/>
    </row>
    <row r="70" spans="1:225" s="385" customFormat="1">
      <c r="A70" s="536" t="s">
        <v>924</v>
      </c>
      <c r="B70" s="1678">
        <f>IF(Setup!L18="Yes",DevCosts!I133-DevCosts!I12,0)</f>
        <v>0</v>
      </c>
      <c r="C70" s="537">
        <f t="shared" ref="C70:AZ70" si="29">$B$70*C33</f>
        <v>0</v>
      </c>
      <c r="D70" s="538">
        <f t="shared" si="29"/>
        <v>0</v>
      </c>
      <c r="E70" s="538">
        <f t="shared" si="29"/>
        <v>0</v>
      </c>
      <c r="F70" s="538">
        <f t="shared" si="29"/>
        <v>0</v>
      </c>
      <c r="G70" s="538">
        <f t="shared" si="29"/>
        <v>0</v>
      </c>
      <c r="H70" s="538">
        <f t="shared" si="29"/>
        <v>0</v>
      </c>
      <c r="I70" s="538">
        <f t="shared" si="29"/>
        <v>0</v>
      </c>
      <c r="J70" s="538">
        <f t="shared" si="29"/>
        <v>0</v>
      </c>
      <c r="K70" s="538">
        <f t="shared" si="29"/>
        <v>0</v>
      </c>
      <c r="L70" s="538">
        <f t="shared" si="29"/>
        <v>0</v>
      </c>
      <c r="M70" s="538">
        <f t="shared" si="29"/>
        <v>0</v>
      </c>
      <c r="N70" s="538">
        <f t="shared" si="29"/>
        <v>0</v>
      </c>
      <c r="O70" s="538">
        <f t="shared" si="29"/>
        <v>0</v>
      </c>
      <c r="P70" s="538">
        <f t="shared" si="29"/>
        <v>0</v>
      </c>
      <c r="Q70" s="538">
        <f t="shared" si="29"/>
        <v>0</v>
      </c>
      <c r="R70" s="538">
        <f t="shared" si="29"/>
        <v>0</v>
      </c>
      <c r="S70" s="538">
        <f t="shared" si="29"/>
        <v>0</v>
      </c>
      <c r="T70" s="538">
        <f t="shared" si="29"/>
        <v>0</v>
      </c>
      <c r="U70" s="538">
        <f t="shared" si="29"/>
        <v>0</v>
      </c>
      <c r="V70" s="538">
        <f t="shared" si="29"/>
        <v>0</v>
      </c>
      <c r="W70" s="538">
        <f t="shared" si="29"/>
        <v>0</v>
      </c>
      <c r="X70" s="538">
        <f t="shared" si="29"/>
        <v>0</v>
      </c>
      <c r="Y70" s="538">
        <f t="shared" si="29"/>
        <v>0</v>
      </c>
      <c r="Z70" s="538">
        <f t="shared" si="29"/>
        <v>0</v>
      </c>
      <c r="AA70" s="538">
        <f t="shared" si="29"/>
        <v>0</v>
      </c>
      <c r="AB70" s="538">
        <f t="shared" si="29"/>
        <v>0</v>
      </c>
      <c r="AC70" s="538">
        <f t="shared" si="29"/>
        <v>0</v>
      </c>
      <c r="AD70" s="538">
        <f t="shared" si="29"/>
        <v>0</v>
      </c>
      <c r="AE70" s="538">
        <f t="shared" si="29"/>
        <v>0</v>
      </c>
      <c r="AF70" s="538">
        <f t="shared" si="29"/>
        <v>0</v>
      </c>
      <c r="AG70" s="538">
        <f t="shared" si="29"/>
        <v>0</v>
      </c>
      <c r="AH70" s="538">
        <f t="shared" si="29"/>
        <v>0</v>
      </c>
      <c r="AI70" s="538">
        <f t="shared" si="29"/>
        <v>0</v>
      </c>
      <c r="AJ70" s="538">
        <f t="shared" si="29"/>
        <v>0</v>
      </c>
      <c r="AK70" s="538">
        <f t="shared" si="29"/>
        <v>0</v>
      </c>
      <c r="AL70" s="538">
        <f t="shared" si="29"/>
        <v>0</v>
      </c>
      <c r="AM70" s="538">
        <f t="shared" si="29"/>
        <v>0</v>
      </c>
      <c r="AN70" s="538">
        <f t="shared" si="29"/>
        <v>0</v>
      </c>
      <c r="AO70" s="538">
        <f t="shared" si="29"/>
        <v>0</v>
      </c>
      <c r="AP70" s="538">
        <f t="shared" si="29"/>
        <v>0</v>
      </c>
      <c r="AQ70" s="538">
        <f t="shared" si="29"/>
        <v>0</v>
      </c>
      <c r="AR70" s="538">
        <f t="shared" si="29"/>
        <v>0</v>
      </c>
      <c r="AS70" s="538">
        <f t="shared" si="29"/>
        <v>0</v>
      </c>
      <c r="AT70" s="538">
        <f t="shared" si="29"/>
        <v>0</v>
      </c>
      <c r="AU70" s="538">
        <f t="shared" si="29"/>
        <v>0</v>
      </c>
      <c r="AV70" s="538">
        <f t="shared" si="29"/>
        <v>0</v>
      </c>
      <c r="AW70" s="538">
        <f t="shared" si="29"/>
        <v>0</v>
      </c>
      <c r="AX70" s="538">
        <f t="shared" si="29"/>
        <v>0</v>
      </c>
      <c r="AY70" s="538">
        <f t="shared" si="29"/>
        <v>0</v>
      </c>
      <c r="AZ70" s="538">
        <f t="shared" si="29"/>
        <v>0</v>
      </c>
      <c r="BA70" s="539"/>
      <c r="BB70" s="539"/>
      <c r="BC70" s="539"/>
      <c r="BD70" s="539"/>
      <c r="BE70" s="539"/>
      <c r="BF70" s="539"/>
      <c r="BG70" s="539"/>
      <c r="BH70" s="539"/>
      <c r="BI70" s="539"/>
      <c r="BJ70" s="539"/>
      <c r="BK70" s="539"/>
      <c r="BL70" s="539"/>
      <c r="BM70" s="539"/>
      <c r="BN70" s="539"/>
      <c r="BO70" s="539"/>
      <c r="BP70" s="539"/>
      <c r="BQ70" s="539"/>
      <c r="BR70" s="539"/>
      <c r="BS70" s="539"/>
      <c r="BT70" s="539"/>
      <c r="BU70" s="539"/>
      <c r="BV70" s="539"/>
      <c r="BW70" s="539"/>
      <c r="BX70" s="539"/>
      <c r="BY70" s="539"/>
      <c r="BZ70" s="539"/>
      <c r="CA70" s="539"/>
      <c r="CB70" s="539"/>
      <c r="CC70" s="539"/>
      <c r="CD70" s="539"/>
      <c r="CE70" s="539"/>
      <c r="CF70" s="539"/>
      <c r="CG70" s="539"/>
      <c r="CH70" s="539"/>
      <c r="CI70" s="539"/>
      <c r="CJ70" s="539"/>
      <c r="CK70" s="539"/>
      <c r="CL70" s="539"/>
      <c r="CM70" s="539"/>
      <c r="CN70" s="539"/>
      <c r="CO70" s="539"/>
      <c r="CP70" s="539"/>
      <c r="CQ70" s="539"/>
      <c r="CR70" s="539"/>
      <c r="CS70" s="539"/>
      <c r="CT70" s="539"/>
      <c r="CU70" s="539"/>
      <c r="CV70" s="539"/>
      <c r="CW70" s="539"/>
      <c r="CX70" s="539"/>
      <c r="CY70" s="539"/>
      <c r="CZ70" s="539"/>
      <c r="DA70" s="539"/>
      <c r="DB70" s="539"/>
      <c r="DC70" s="539"/>
      <c r="DD70" s="539"/>
      <c r="DE70" s="539"/>
      <c r="DF70" s="539"/>
      <c r="DG70" s="539"/>
      <c r="DH70" s="539"/>
      <c r="DI70" s="539"/>
      <c r="DJ70" s="539"/>
      <c r="DK70" s="539"/>
      <c r="DL70" s="539"/>
      <c r="DM70" s="539"/>
      <c r="DN70" s="539"/>
      <c r="DO70" s="539"/>
      <c r="DP70" s="539"/>
      <c r="DQ70" s="539"/>
      <c r="DR70" s="539"/>
      <c r="DS70" s="539"/>
      <c r="DT70" s="539"/>
      <c r="DU70" s="539"/>
      <c r="DV70" s="539"/>
      <c r="DW70" s="539"/>
      <c r="DX70" s="539"/>
      <c r="DY70" s="539"/>
      <c r="DZ70" s="539"/>
      <c r="EA70" s="539"/>
      <c r="EB70" s="539"/>
      <c r="EC70" s="539"/>
      <c r="ED70" s="539"/>
      <c r="EE70" s="539"/>
      <c r="EF70" s="539"/>
      <c r="EG70" s="539"/>
      <c r="EH70" s="539"/>
      <c r="EI70" s="539"/>
      <c r="EJ70" s="539"/>
      <c r="EK70" s="539"/>
      <c r="EL70" s="539"/>
      <c r="EM70" s="539"/>
      <c r="EN70" s="539"/>
      <c r="EO70" s="539"/>
      <c r="EP70" s="539"/>
      <c r="EQ70" s="539"/>
      <c r="ER70" s="539"/>
      <c r="ES70" s="539"/>
      <c r="ET70" s="539"/>
      <c r="EU70" s="539"/>
      <c r="EV70" s="539"/>
      <c r="EW70" s="539"/>
      <c r="EX70" s="539"/>
      <c r="EY70" s="539"/>
      <c r="EZ70" s="539"/>
      <c r="FA70" s="539"/>
      <c r="FB70" s="539"/>
      <c r="FC70" s="539"/>
      <c r="FD70" s="539"/>
      <c r="FE70" s="539"/>
      <c r="FF70" s="539"/>
      <c r="FG70" s="539"/>
      <c r="FH70" s="539"/>
      <c r="FI70" s="539"/>
      <c r="FJ70" s="539"/>
      <c r="FK70" s="539"/>
      <c r="FL70" s="539"/>
      <c r="FM70" s="539"/>
      <c r="FN70" s="539"/>
      <c r="FO70" s="539"/>
      <c r="FP70" s="539"/>
      <c r="FQ70" s="539"/>
      <c r="FR70" s="539"/>
      <c r="FS70" s="539"/>
      <c r="FT70" s="539"/>
      <c r="FU70" s="539"/>
      <c r="FV70" s="539"/>
      <c r="FW70" s="539"/>
      <c r="FX70" s="539"/>
      <c r="FY70" s="539"/>
      <c r="FZ70" s="539"/>
      <c r="GA70" s="539"/>
      <c r="GB70" s="539"/>
      <c r="GC70" s="539"/>
      <c r="GD70" s="539"/>
      <c r="GE70" s="539"/>
      <c r="GF70" s="539"/>
      <c r="GG70" s="539"/>
      <c r="GH70" s="539"/>
      <c r="GI70" s="539"/>
      <c r="GJ70" s="539"/>
      <c r="GK70" s="539"/>
      <c r="GL70" s="539"/>
      <c r="GM70" s="539"/>
      <c r="GN70" s="539"/>
      <c r="GO70" s="539"/>
      <c r="GP70" s="539"/>
      <c r="GQ70" s="539"/>
      <c r="GR70" s="539"/>
      <c r="GS70" s="539"/>
      <c r="GT70" s="539"/>
      <c r="GU70" s="539"/>
      <c r="GV70" s="539"/>
      <c r="GW70" s="539"/>
      <c r="GX70" s="539"/>
      <c r="GY70" s="539"/>
      <c r="GZ70" s="539"/>
      <c r="HA70" s="539"/>
      <c r="HB70" s="539"/>
      <c r="HC70" s="539"/>
      <c r="HD70" s="539"/>
      <c r="HE70" s="539"/>
      <c r="HF70" s="539"/>
      <c r="HG70" s="539"/>
      <c r="HH70" s="539"/>
      <c r="HI70" s="539"/>
      <c r="HJ70" s="539"/>
      <c r="HK70" s="539"/>
      <c r="HL70" s="539"/>
      <c r="HM70" s="539"/>
      <c r="HN70" s="539"/>
      <c r="HO70" s="539"/>
      <c r="HP70" s="539"/>
      <c r="HQ70" s="539"/>
    </row>
    <row r="71" spans="1:225" s="385" customFormat="1">
      <c r="A71" s="536" t="s">
        <v>925</v>
      </c>
      <c r="B71" s="1678">
        <f>IF(B70&gt;0,-DevCosts!M133,0)</f>
        <v>0</v>
      </c>
      <c r="C71" s="537">
        <f t="shared" ref="C71:AZ71" si="30">$B$71*C33</f>
        <v>0</v>
      </c>
      <c r="D71" s="538">
        <f t="shared" si="30"/>
        <v>0</v>
      </c>
      <c r="E71" s="538">
        <f t="shared" si="30"/>
        <v>0</v>
      </c>
      <c r="F71" s="538">
        <f t="shared" si="30"/>
        <v>0</v>
      </c>
      <c r="G71" s="538">
        <f t="shared" si="30"/>
        <v>0</v>
      </c>
      <c r="H71" s="538">
        <f t="shared" si="30"/>
        <v>0</v>
      </c>
      <c r="I71" s="538">
        <f t="shared" si="30"/>
        <v>0</v>
      </c>
      <c r="J71" s="538">
        <f t="shared" si="30"/>
        <v>0</v>
      </c>
      <c r="K71" s="538">
        <f t="shared" si="30"/>
        <v>0</v>
      </c>
      <c r="L71" s="538">
        <f t="shared" si="30"/>
        <v>0</v>
      </c>
      <c r="M71" s="538">
        <f t="shared" si="30"/>
        <v>0</v>
      </c>
      <c r="N71" s="538">
        <f t="shared" si="30"/>
        <v>0</v>
      </c>
      <c r="O71" s="538">
        <f t="shared" si="30"/>
        <v>0</v>
      </c>
      <c r="P71" s="538">
        <f t="shared" si="30"/>
        <v>0</v>
      </c>
      <c r="Q71" s="538">
        <f t="shared" si="30"/>
        <v>0</v>
      </c>
      <c r="R71" s="538">
        <f t="shared" si="30"/>
        <v>0</v>
      </c>
      <c r="S71" s="538">
        <f t="shared" si="30"/>
        <v>0</v>
      </c>
      <c r="T71" s="538">
        <f t="shared" si="30"/>
        <v>0</v>
      </c>
      <c r="U71" s="538">
        <f t="shared" si="30"/>
        <v>0</v>
      </c>
      <c r="V71" s="538">
        <f t="shared" si="30"/>
        <v>0</v>
      </c>
      <c r="W71" s="538">
        <f t="shared" si="30"/>
        <v>0</v>
      </c>
      <c r="X71" s="538">
        <f t="shared" si="30"/>
        <v>0</v>
      </c>
      <c r="Y71" s="538">
        <f t="shared" si="30"/>
        <v>0</v>
      </c>
      <c r="Z71" s="538">
        <f t="shared" si="30"/>
        <v>0</v>
      </c>
      <c r="AA71" s="538">
        <f t="shared" si="30"/>
        <v>0</v>
      </c>
      <c r="AB71" s="538">
        <f t="shared" si="30"/>
        <v>0</v>
      </c>
      <c r="AC71" s="538">
        <f t="shared" si="30"/>
        <v>0</v>
      </c>
      <c r="AD71" s="538">
        <f t="shared" si="30"/>
        <v>0</v>
      </c>
      <c r="AE71" s="538">
        <f t="shared" si="30"/>
        <v>0</v>
      </c>
      <c r="AF71" s="538">
        <f t="shared" si="30"/>
        <v>0</v>
      </c>
      <c r="AG71" s="538">
        <f t="shared" si="30"/>
        <v>0</v>
      </c>
      <c r="AH71" s="538">
        <f t="shared" si="30"/>
        <v>0</v>
      </c>
      <c r="AI71" s="538">
        <f t="shared" si="30"/>
        <v>0</v>
      </c>
      <c r="AJ71" s="538">
        <f t="shared" si="30"/>
        <v>0</v>
      </c>
      <c r="AK71" s="538">
        <f t="shared" si="30"/>
        <v>0</v>
      </c>
      <c r="AL71" s="538">
        <f t="shared" si="30"/>
        <v>0</v>
      </c>
      <c r="AM71" s="538">
        <f t="shared" si="30"/>
        <v>0</v>
      </c>
      <c r="AN71" s="538">
        <f t="shared" si="30"/>
        <v>0</v>
      </c>
      <c r="AO71" s="538">
        <f t="shared" si="30"/>
        <v>0</v>
      </c>
      <c r="AP71" s="538">
        <f t="shared" si="30"/>
        <v>0</v>
      </c>
      <c r="AQ71" s="538">
        <f t="shared" si="30"/>
        <v>0</v>
      </c>
      <c r="AR71" s="538">
        <f t="shared" si="30"/>
        <v>0</v>
      </c>
      <c r="AS71" s="538">
        <f t="shared" si="30"/>
        <v>0</v>
      </c>
      <c r="AT71" s="538">
        <f t="shared" si="30"/>
        <v>0</v>
      </c>
      <c r="AU71" s="538">
        <f t="shared" si="30"/>
        <v>0</v>
      </c>
      <c r="AV71" s="538">
        <f t="shared" si="30"/>
        <v>0</v>
      </c>
      <c r="AW71" s="538">
        <f t="shared" si="30"/>
        <v>0</v>
      </c>
      <c r="AX71" s="538">
        <f t="shared" si="30"/>
        <v>0</v>
      </c>
      <c r="AY71" s="538">
        <f t="shared" si="30"/>
        <v>0</v>
      </c>
      <c r="AZ71" s="538">
        <f t="shared" si="30"/>
        <v>0</v>
      </c>
      <c r="BA71" s="539"/>
      <c r="BB71" s="539"/>
      <c r="BC71" s="539"/>
      <c r="BD71" s="539"/>
      <c r="BE71" s="539"/>
      <c r="BF71" s="539"/>
      <c r="BG71" s="539"/>
      <c r="BH71" s="539"/>
      <c r="BI71" s="539"/>
      <c r="BJ71" s="539"/>
      <c r="BK71" s="539"/>
      <c r="BL71" s="539"/>
      <c r="BM71" s="539"/>
      <c r="BN71" s="539"/>
      <c r="BO71" s="539"/>
      <c r="BP71" s="539"/>
      <c r="BQ71" s="539"/>
      <c r="BR71" s="539"/>
      <c r="BS71" s="539"/>
      <c r="BT71" s="539"/>
      <c r="BU71" s="539"/>
      <c r="BV71" s="539"/>
      <c r="BW71" s="539"/>
      <c r="BX71" s="539"/>
      <c r="BY71" s="539"/>
      <c r="BZ71" s="539"/>
      <c r="CA71" s="539"/>
      <c r="CB71" s="539"/>
      <c r="CC71" s="539"/>
      <c r="CD71" s="539"/>
      <c r="CE71" s="539"/>
      <c r="CF71" s="539"/>
      <c r="CG71" s="539"/>
      <c r="CH71" s="539"/>
      <c r="CI71" s="539"/>
      <c r="CJ71" s="539"/>
      <c r="CK71" s="539"/>
      <c r="CL71" s="539"/>
      <c r="CM71" s="539"/>
      <c r="CN71" s="539"/>
      <c r="CO71" s="539"/>
      <c r="CP71" s="539"/>
      <c r="CQ71" s="539"/>
      <c r="CR71" s="539"/>
      <c r="CS71" s="539"/>
      <c r="CT71" s="539"/>
      <c r="CU71" s="539"/>
      <c r="CV71" s="539"/>
      <c r="CW71" s="539"/>
      <c r="CX71" s="539"/>
      <c r="CY71" s="539"/>
      <c r="CZ71" s="539"/>
      <c r="DA71" s="539"/>
      <c r="DB71" s="539"/>
      <c r="DC71" s="539"/>
      <c r="DD71" s="539"/>
      <c r="DE71" s="539"/>
      <c r="DF71" s="539"/>
      <c r="DG71" s="539"/>
      <c r="DH71" s="539"/>
      <c r="DI71" s="539"/>
      <c r="DJ71" s="539"/>
      <c r="DK71" s="539"/>
      <c r="DL71" s="539"/>
      <c r="DM71" s="539"/>
      <c r="DN71" s="539"/>
      <c r="DO71" s="539"/>
      <c r="DP71" s="539"/>
      <c r="DQ71" s="539"/>
      <c r="DR71" s="539"/>
      <c r="DS71" s="539"/>
      <c r="DT71" s="539"/>
      <c r="DU71" s="539"/>
      <c r="DV71" s="539"/>
      <c r="DW71" s="539"/>
      <c r="DX71" s="539"/>
      <c r="DY71" s="539"/>
      <c r="DZ71" s="539"/>
      <c r="EA71" s="539"/>
      <c r="EB71" s="539"/>
      <c r="EC71" s="539"/>
      <c r="ED71" s="539"/>
      <c r="EE71" s="539"/>
      <c r="EF71" s="539"/>
      <c r="EG71" s="539"/>
      <c r="EH71" s="539"/>
      <c r="EI71" s="539"/>
      <c r="EJ71" s="539"/>
      <c r="EK71" s="539"/>
      <c r="EL71" s="539"/>
      <c r="EM71" s="539"/>
      <c r="EN71" s="539"/>
      <c r="EO71" s="539"/>
      <c r="EP71" s="539"/>
      <c r="EQ71" s="539"/>
      <c r="ER71" s="539"/>
      <c r="ES71" s="539"/>
      <c r="ET71" s="539"/>
      <c r="EU71" s="539"/>
      <c r="EV71" s="539"/>
      <c r="EW71" s="539"/>
      <c r="EX71" s="539"/>
      <c r="EY71" s="539"/>
      <c r="EZ71" s="539"/>
      <c r="FA71" s="539"/>
      <c r="FB71" s="539"/>
      <c r="FC71" s="539"/>
      <c r="FD71" s="539"/>
      <c r="FE71" s="539"/>
      <c r="FF71" s="539"/>
      <c r="FG71" s="539"/>
      <c r="FH71" s="539"/>
      <c r="FI71" s="539"/>
      <c r="FJ71" s="539"/>
      <c r="FK71" s="539"/>
      <c r="FL71" s="539"/>
      <c r="FM71" s="539"/>
      <c r="FN71" s="539"/>
      <c r="FO71" s="539"/>
      <c r="FP71" s="539"/>
      <c r="FQ71" s="539"/>
      <c r="FR71" s="539"/>
      <c r="FS71" s="539"/>
      <c r="FT71" s="539"/>
      <c r="FU71" s="539"/>
      <c r="FV71" s="539"/>
      <c r="FW71" s="539"/>
      <c r="FX71" s="539"/>
      <c r="FY71" s="539"/>
      <c r="FZ71" s="539"/>
      <c r="GA71" s="539"/>
      <c r="GB71" s="539"/>
      <c r="GC71" s="539"/>
      <c r="GD71" s="539"/>
      <c r="GE71" s="539"/>
      <c r="GF71" s="539"/>
      <c r="GG71" s="539"/>
      <c r="GH71" s="539"/>
      <c r="GI71" s="539"/>
      <c r="GJ71" s="539"/>
      <c r="GK71" s="539"/>
      <c r="GL71" s="539"/>
      <c r="GM71" s="539"/>
      <c r="GN71" s="539"/>
      <c r="GO71" s="539"/>
      <c r="GP71" s="539"/>
      <c r="GQ71" s="539"/>
      <c r="GR71" s="539"/>
      <c r="GS71" s="539"/>
      <c r="GT71" s="539"/>
      <c r="GU71" s="539"/>
      <c r="GV71" s="539"/>
      <c r="GW71" s="539"/>
      <c r="GX71" s="539"/>
      <c r="GY71" s="539"/>
      <c r="GZ71" s="539"/>
      <c r="HA71" s="539"/>
      <c r="HB71" s="539"/>
      <c r="HC71" s="539"/>
      <c r="HD71" s="539"/>
      <c r="HE71" s="539"/>
      <c r="HF71" s="539"/>
      <c r="HG71" s="539"/>
      <c r="HH71" s="539"/>
      <c r="HI71" s="539"/>
      <c r="HJ71" s="539"/>
      <c r="HK71" s="539"/>
      <c r="HL71" s="539"/>
      <c r="HM71" s="539"/>
      <c r="HN71" s="539"/>
      <c r="HO71" s="539"/>
      <c r="HP71" s="539"/>
      <c r="HQ71" s="539"/>
    </row>
    <row r="72" spans="1:225" s="385" customFormat="1">
      <c r="A72" s="536" t="s">
        <v>926</v>
      </c>
      <c r="B72" s="1678">
        <f t="shared" ref="B72:AZ72" si="31">B70+B71</f>
        <v>0</v>
      </c>
      <c r="C72" s="1679">
        <f t="shared" si="31"/>
        <v>0</v>
      </c>
      <c r="D72" s="1680">
        <f t="shared" si="31"/>
        <v>0</v>
      </c>
      <c r="E72" s="1680">
        <f t="shared" si="31"/>
        <v>0</v>
      </c>
      <c r="F72" s="1680">
        <f t="shared" si="31"/>
        <v>0</v>
      </c>
      <c r="G72" s="1680">
        <f t="shared" si="31"/>
        <v>0</v>
      </c>
      <c r="H72" s="1680">
        <f t="shared" si="31"/>
        <v>0</v>
      </c>
      <c r="I72" s="1680">
        <f t="shared" si="31"/>
        <v>0</v>
      </c>
      <c r="J72" s="1680">
        <f t="shared" si="31"/>
        <v>0</v>
      </c>
      <c r="K72" s="1680">
        <f t="shared" si="31"/>
        <v>0</v>
      </c>
      <c r="L72" s="1680">
        <f t="shared" si="31"/>
        <v>0</v>
      </c>
      <c r="M72" s="1680">
        <f t="shared" si="31"/>
        <v>0</v>
      </c>
      <c r="N72" s="1680">
        <f t="shared" si="31"/>
        <v>0</v>
      </c>
      <c r="O72" s="1680">
        <f t="shared" si="31"/>
        <v>0</v>
      </c>
      <c r="P72" s="1680">
        <f t="shared" si="31"/>
        <v>0</v>
      </c>
      <c r="Q72" s="1680">
        <f t="shared" si="31"/>
        <v>0</v>
      </c>
      <c r="R72" s="1680">
        <f t="shared" si="31"/>
        <v>0</v>
      </c>
      <c r="S72" s="1680">
        <f t="shared" si="31"/>
        <v>0</v>
      </c>
      <c r="T72" s="1680">
        <f t="shared" si="31"/>
        <v>0</v>
      </c>
      <c r="U72" s="1680">
        <f t="shared" si="31"/>
        <v>0</v>
      </c>
      <c r="V72" s="1680">
        <f t="shared" si="31"/>
        <v>0</v>
      </c>
      <c r="W72" s="1680">
        <f t="shared" si="31"/>
        <v>0</v>
      </c>
      <c r="X72" s="1680">
        <f t="shared" si="31"/>
        <v>0</v>
      </c>
      <c r="Y72" s="1680">
        <f t="shared" si="31"/>
        <v>0</v>
      </c>
      <c r="Z72" s="1680">
        <f t="shared" si="31"/>
        <v>0</v>
      </c>
      <c r="AA72" s="1680">
        <f t="shared" si="31"/>
        <v>0</v>
      </c>
      <c r="AB72" s="1680">
        <f t="shared" si="31"/>
        <v>0</v>
      </c>
      <c r="AC72" s="1680">
        <f t="shared" si="31"/>
        <v>0</v>
      </c>
      <c r="AD72" s="1680">
        <f t="shared" si="31"/>
        <v>0</v>
      </c>
      <c r="AE72" s="1680">
        <f t="shared" si="31"/>
        <v>0</v>
      </c>
      <c r="AF72" s="1680">
        <f t="shared" si="31"/>
        <v>0</v>
      </c>
      <c r="AG72" s="1680">
        <f t="shared" si="31"/>
        <v>0</v>
      </c>
      <c r="AH72" s="1680">
        <f t="shared" si="31"/>
        <v>0</v>
      </c>
      <c r="AI72" s="1680">
        <f t="shared" si="31"/>
        <v>0</v>
      </c>
      <c r="AJ72" s="1680">
        <f t="shared" si="31"/>
        <v>0</v>
      </c>
      <c r="AK72" s="1680">
        <f t="shared" si="31"/>
        <v>0</v>
      </c>
      <c r="AL72" s="1680">
        <f t="shared" si="31"/>
        <v>0</v>
      </c>
      <c r="AM72" s="1680">
        <f t="shared" si="31"/>
        <v>0</v>
      </c>
      <c r="AN72" s="1680">
        <f t="shared" si="31"/>
        <v>0</v>
      </c>
      <c r="AO72" s="1680">
        <f t="shared" si="31"/>
        <v>0</v>
      </c>
      <c r="AP72" s="1680">
        <f t="shared" si="31"/>
        <v>0</v>
      </c>
      <c r="AQ72" s="1680">
        <f t="shared" si="31"/>
        <v>0</v>
      </c>
      <c r="AR72" s="1680">
        <f t="shared" si="31"/>
        <v>0</v>
      </c>
      <c r="AS72" s="1680">
        <f t="shared" si="31"/>
        <v>0</v>
      </c>
      <c r="AT72" s="1680">
        <f t="shared" si="31"/>
        <v>0</v>
      </c>
      <c r="AU72" s="1680">
        <f t="shared" si="31"/>
        <v>0</v>
      </c>
      <c r="AV72" s="1680">
        <f t="shared" si="31"/>
        <v>0</v>
      </c>
      <c r="AW72" s="1680">
        <f t="shared" si="31"/>
        <v>0</v>
      </c>
      <c r="AX72" s="1680">
        <f t="shared" si="31"/>
        <v>0</v>
      </c>
      <c r="AY72" s="1680">
        <f t="shared" si="31"/>
        <v>0</v>
      </c>
      <c r="AZ72" s="1680">
        <f t="shared" si="31"/>
        <v>0</v>
      </c>
      <c r="BA72" s="539"/>
      <c r="BB72" s="539"/>
      <c r="BC72" s="539"/>
      <c r="BD72" s="539"/>
      <c r="BE72" s="539"/>
      <c r="BF72" s="539"/>
      <c r="BG72" s="539"/>
      <c r="BH72" s="539"/>
      <c r="BI72" s="539"/>
      <c r="BJ72" s="539"/>
      <c r="BK72" s="539"/>
      <c r="BL72" s="539"/>
      <c r="BM72" s="539"/>
      <c r="BN72" s="539"/>
      <c r="BO72" s="539"/>
      <c r="BP72" s="539"/>
      <c r="BQ72" s="539"/>
      <c r="BR72" s="539"/>
      <c r="BS72" s="539"/>
      <c r="BT72" s="539"/>
      <c r="BU72" s="539"/>
      <c r="BV72" s="539"/>
      <c r="BW72" s="539"/>
      <c r="BX72" s="539"/>
      <c r="BY72" s="539"/>
      <c r="BZ72" s="539"/>
      <c r="CA72" s="539"/>
      <c r="CB72" s="539"/>
      <c r="CC72" s="539"/>
      <c r="CD72" s="539"/>
      <c r="CE72" s="539"/>
      <c r="CF72" s="539"/>
      <c r="CG72" s="539"/>
      <c r="CH72" s="539"/>
      <c r="CI72" s="539"/>
      <c r="CJ72" s="539"/>
      <c r="CK72" s="539"/>
      <c r="CL72" s="539"/>
      <c r="CM72" s="539"/>
      <c r="CN72" s="539"/>
      <c r="CO72" s="539"/>
      <c r="CP72" s="539"/>
      <c r="CQ72" s="539"/>
      <c r="CR72" s="539"/>
      <c r="CS72" s="539"/>
      <c r="CT72" s="539"/>
      <c r="CU72" s="539"/>
      <c r="CV72" s="539"/>
      <c r="CW72" s="539"/>
      <c r="CX72" s="539"/>
      <c r="CY72" s="539"/>
      <c r="CZ72" s="539"/>
      <c r="DA72" s="539"/>
      <c r="DB72" s="539"/>
      <c r="DC72" s="539"/>
      <c r="DD72" s="539"/>
      <c r="DE72" s="539"/>
      <c r="DF72" s="539"/>
      <c r="DG72" s="539"/>
      <c r="DH72" s="539"/>
      <c r="DI72" s="539"/>
      <c r="DJ72" s="539"/>
      <c r="DK72" s="539"/>
      <c r="DL72" s="539"/>
      <c r="DM72" s="539"/>
      <c r="DN72" s="539"/>
      <c r="DO72" s="539"/>
      <c r="DP72" s="539"/>
      <c r="DQ72" s="539"/>
      <c r="DR72" s="539"/>
      <c r="DS72" s="539"/>
      <c r="DT72" s="539"/>
      <c r="DU72" s="539"/>
      <c r="DV72" s="539"/>
      <c r="DW72" s="539"/>
      <c r="DX72" s="539"/>
      <c r="DY72" s="539"/>
      <c r="DZ72" s="539"/>
      <c r="EA72" s="539"/>
      <c r="EB72" s="539"/>
      <c r="EC72" s="539"/>
      <c r="ED72" s="539"/>
      <c r="EE72" s="539"/>
      <c r="EF72" s="539"/>
      <c r="EG72" s="539"/>
      <c r="EH72" s="539"/>
      <c r="EI72" s="539"/>
      <c r="EJ72" s="539"/>
      <c r="EK72" s="539"/>
      <c r="EL72" s="539"/>
      <c r="EM72" s="539"/>
      <c r="EN72" s="539"/>
      <c r="EO72" s="539"/>
      <c r="EP72" s="539"/>
      <c r="EQ72" s="539"/>
      <c r="ER72" s="539"/>
      <c r="ES72" s="539"/>
      <c r="ET72" s="539"/>
      <c r="EU72" s="539"/>
      <c r="EV72" s="539"/>
      <c r="EW72" s="539"/>
      <c r="EX72" s="539"/>
      <c r="EY72" s="539"/>
      <c r="EZ72" s="539"/>
      <c r="FA72" s="539"/>
      <c r="FB72" s="539"/>
      <c r="FC72" s="539"/>
      <c r="FD72" s="539"/>
      <c r="FE72" s="539"/>
      <c r="FF72" s="539"/>
      <c r="FG72" s="539"/>
      <c r="FH72" s="539"/>
      <c r="FI72" s="539"/>
      <c r="FJ72" s="539"/>
      <c r="FK72" s="539"/>
      <c r="FL72" s="539"/>
      <c r="FM72" s="539"/>
      <c r="FN72" s="539"/>
      <c r="FO72" s="539"/>
      <c r="FP72" s="539"/>
      <c r="FQ72" s="539"/>
      <c r="FR72" s="539"/>
      <c r="FS72" s="539"/>
      <c r="FT72" s="539"/>
      <c r="FU72" s="539"/>
      <c r="FV72" s="539"/>
      <c r="FW72" s="539"/>
      <c r="FX72" s="539"/>
      <c r="FY72" s="539"/>
      <c r="FZ72" s="539"/>
      <c r="GA72" s="539"/>
      <c r="GB72" s="539"/>
      <c r="GC72" s="539"/>
      <c r="GD72" s="539"/>
      <c r="GE72" s="539"/>
      <c r="GF72" s="539"/>
      <c r="GG72" s="539"/>
      <c r="GH72" s="539"/>
      <c r="GI72" s="539"/>
      <c r="GJ72" s="539"/>
      <c r="GK72" s="539"/>
      <c r="GL72" s="539"/>
      <c r="GM72" s="539"/>
      <c r="GN72" s="539"/>
      <c r="GO72" s="539"/>
      <c r="GP72" s="539"/>
      <c r="GQ72" s="539"/>
      <c r="GR72" s="539"/>
      <c r="GS72" s="539"/>
      <c r="GT72" s="539"/>
      <c r="GU72" s="539"/>
      <c r="GV72" s="539"/>
      <c r="GW72" s="539"/>
      <c r="GX72" s="539"/>
      <c r="GY72" s="539"/>
      <c r="GZ72" s="539"/>
      <c r="HA72" s="539"/>
      <c r="HB72" s="539"/>
      <c r="HC72" s="539"/>
      <c r="HD72" s="539"/>
      <c r="HE72" s="539"/>
      <c r="HF72" s="539"/>
      <c r="HG72" s="539"/>
      <c r="HH72" s="539"/>
      <c r="HI72" s="539"/>
      <c r="HJ72" s="539"/>
      <c r="HK72" s="539"/>
      <c r="HL72" s="539"/>
      <c r="HM72" s="539"/>
      <c r="HN72" s="539"/>
      <c r="HO72" s="539"/>
      <c r="HP72" s="539"/>
      <c r="HQ72" s="539"/>
    </row>
    <row r="73" spans="1:225">
      <c r="A73" s="529" t="s">
        <v>157</v>
      </c>
      <c r="B73" s="1681">
        <v>0.2</v>
      </c>
      <c r="C73" s="540">
        <f t="shared" ref="C73:AZ73" si="32">B73</f>
        <v>0.2</v>
      </c>
      <c r="D73" s="541">
        <f t="shared" si="32"/>
        <v>0.2</v>
      </c>
      <c r="E73" s="541">
        <f t="shared" si="32"/>
        <v>0.2</v>
      </c>
      <c r="F73" s="541">
        <f t="shared" si="32"/>
        <v>0.2</v>
      </c>
      <c r="G73" s="541">
        <f t="shared" si="32"/>
        <v>0.2</v>
      </c>
      <c r="H73" s="541">
        <f t="shared" si="32"/>
        <v>0.2</v>
      </c>
      <c r="I73" s="541">
        <f t="shared" si="32"/>
        <v>0.2</v>
      </c>
      <c r="J73" s="541">
        <f t="shared" si="32"/>
        <v>0.2</v>
      </c>
      <c r="K73" s="541">
        <f t="shared" si="32"/>
        <v>0.2</v>
      </c>
      <c r="L73" s="541">
        <f t="shared" si="32"/>
        <v>0.2</v>
      </c>
      <c r="M73" s="541">
        <f t="shared" si="32"/>
        <v>0.2</v>
      </c>
      <c r="N73" s="541">
        <f t="shared" si="32"/>
        <v>0.2</v>
      </c>
      <c r="O73" s="541">
        <f t="shared" si="32"/>
        <v>0.2</v>
      </c>
      <c r="P73" s="541">
        <f t="shared" si="32"/>
        <v>0.2</v>
      </c>
      <c r="Q73" s="541">
        <f t="shared" si="32"/>
        <v>0.2</v>
      </c>
      <c r="R73" s="541">
        <f t="shared" si="32"/>
        <v>0.2</v>
      </c>
      <c r="S73" s="541">
        <f t="shared" si="32"/>
        <v>0.2</v>
      </c>
      <c r="T73" s="541">
        <f t="shared" si="32"/>
        <v>0.2</v>
      </c>
      <c r="U73" s="541">
        <f t="shared" si="32"/>
        <v>0.2</v>
      </c>
      <c r="V73" s="541">
        <f t="shared" si="32"/>
        <v>0.2</v>
      </c>
      <c r="W73" s="541">
        <f t="shared" si="32"/>
        <v>0.2</v>
      </c>
      <c r="X73" s="541">
        <f t="shared" si="32"/>
        <v>0.2</v>
      </c>
      <c r="Y73" s="541">
        <f t="shared" si="32"/>
        <v>0.2</v>
      </c>
      <c r="Z73" s="541">
        <f t="shared" si="32"/>
        <v>0.2</v>
      </c>
      <c r="AA73" s="541">
        <f t="shared" si="32"/>
        <v>0.2</v>
      </c>
      <c r="AB73" s="541">
        <f t="shared" si="32"/>
        <v>0.2</v>
      </c>
      <c r="AC73" s="541">
        <f t="shared" si="32"/>
        <v>0.2</v>
      </c>
      <c r="AD73" s="541">
        <f t="shared" si="32"/>
        <v>0.2</v>
      </c>
      <c r="AE73" s="541">
        <f t="shared" si="32"/>
        <v>0.2</v>
      </c>
      <c r="AF73" s="541">
        <f t="shared" si="32"/>
        <v>0.2</v>
      </c>
      <c r="AG73" s="541">
        <f t="shared" si="32"/>
        <v>0.2</v>
      </c>
      <c r="AH73" s="541">
        <f t="shared" si="32"/>
        <v>0.2</v>
      </c>
      <c r="AI73" s="541">
        <f t="shared" si="32"/>
        <v>0.2</v>
      </c>
      <c r="AJ73" s="541">
        <f t="shared" si="32"/>
        <v>0.2</v>
      </c>
      <c r="AK73" s="541">
        <f t="shared" si="32"/>
        <v>0.2</v>
      </c>
      <c r="AL73" s="541">
        <f t="shared" si="32"/>
        <v>0.2</v>
      </c>
      <c r="AM73" s="541">
        <f t="shared" si="32"/>
        <v>0.2</v>
      </c>
      <c r="AN73" s="541">
        <f t="shared" si="32"/>
        <v>0.2</v>
      </c>
      <c r="AO73" s="541">
        <f t="shared" si="32"/>
        <v>0.2</v>
      </c>
      <c r="AP73" s="541">
        <f t="shared" si="32"/>
        <v>0.2</v>
      </c>
      <c r="AQ73" s="541">
        <f t="shared" si="32"/>
        <v>0.2</v>
      </c>
      <c r="AR73" s="541">
        <f t="shared" si="32"/>
        <v>0.2</v>
      </c>
      <c r="AS73" s="541">
        <f t="shared" si="32"/>
        <v>0.2</v>
      </c>
      <c r="AT73" s="541">
        <f t="shared" si="32"/>
        <v>0.2</v>
      </c>
      <c r="AU73" s="541">
        <f t="shared" si="32"/>
        <v>0.2</v>
      </c>
      <c r="AV73" s="541">
        <f t="shared" si="32"/>
        <v>0.2</v>
      </c>
      <c r="AW73" s="541">
        <f t="shared" si="32"/>
        <v>0.2</v>
      </c>
      <c r="AX73" s="541">
        <f t="shared" si="32"/>
        <v>0.2</v>
      </c>
      <c r="AY73" s="541">
        <f t="shared" si="32"/>
        <v>0.2</v>
      </c>
      <c r="AZ73" s="541">
        <f t="shared" si="32"/>
        <v>0.2</v>
      </c>
    </row>
    <row r="74" spans="1:225" s="385" customFormat="1" ht="13.5" thickBot="1">
      <c r="A74" s="542" t="s">
        <v>927</v>
      </c>
      <c r="B74" s="1682">
        <f t="shared" ref="B74:AZ74" si="33">B73*B72</f>
        <v>0</v>
      </c>
      <c r="C74" s="1683">
        <f t="shared" si="33"/>
        <v>0</v>
      </c>
      <c r="D74" s="1684">
        <f t="shared" si="33"/>
        <v>0</v>
      </c>
      <c r="E74" s="1684">
        <f t="shared" si="33"/>
        <v>0</v>
      </c>
      <c r="F74" s="1684">
        <f t="shared" si="33"/>
        <v>0</v>
      </c>
      <c r="G74" s="1684">
        <f t="shared" si="33"/>
        <v>0</v>
      </c>
      <c r="H74" s="1684">
        <f t="shared" si="33"/>
        <v>0</v>
      </c>
      <c r="I74" s="1684">
        <f t="shared" si="33"/>
        <v>0</v>
      </c>
      <c r="J74" s="1684">
        <f t="shared" si="33"/>
        <v>0</v>
      </c>
      <c r="K74" s="1684">
        <f t="shared" si="33"/>
        <v>0</v>
      </c>
      <c r="L74" s="1684">
        <f t="shared" si="33"/>
        <v>0</v>
      </c>
      <c r="M74" s="1684">
        <f t="shared" si="33"/>
        <v>0</v>
      </c>
      <c r="N74" s="1684">
        <f t="shared" si="33"/>
        <v>0</v>
      </c>
      <c r="O74" s="1684">
        <f t="shared" si="33"/>
        <v>0</v>
      </c>
      <c r="P74" s="1684">
        <f t="shared" si="33"/>
        <v>0</v>
      </c>
      <c r="Q74" s="1684">
        <f t="shared" si="33"/>
        <v>0</v>
      </c>
      <c r="R74" s="1684">
        <f t="shared" si="33"/>
        <v>0</v>
      </c>
      <c r="S74" s="1684">
        <f t="shared" si="33"/>
        <v>0</v>
      </c>
      <c r="T74" s="1684">
        <f t="shared" si="33"/>
        <v>0</v>
      </c>
      <c r="U74" s="1684">
        <f t="shared" si="33"/>
        <v>0</v>
      </c>
      <c r="V74" s="1684">
        <f t="shared" si="33"/>
        <v>0</v>
      </c>
      <c r="W74" s="1684">
        <f t="shared" si="33"/>
        <v>0</v>
      </c>
      <c r="X74" s="1684">
        <f t="shared" si="33"/>
        <v>0</v>
      </c>
      <c r="Y74" s="1684">
        <f t="shared" si="33"/>
        <v>0</v>
      </c>
      <c r="Z74" s="1684">
        <f t="shared" si="33"/>
        <v>0</v>
      </c>
      <c r="AA74" s="1684">
        <f t="shared" si="33"/>
        <v>0</v>
      </c>
      <c r="AB74" s="1684">
        <f t="shared" si="33"/>
        <v>0</v>
      </c>
      <c r="AC74" s="1684">
        <f t="shared" si="33"/>
        <v>0</v>
      </c>
      <c r="AD74" s="1684">
        <f t="shared" si="33"/>
        <v>0</v>
      </c>
      <c r="AE74" s="1684">
        <f t="shared" si="33"/>
        <v>0</v>
      </c>
      <c r="AF74" s="1684">
        <f t="shared" si="33"/>
        <v>0</v>
      </c>
      <c r="AG74" s="1684">
        <f t="shared" si="33"/>
        <v>0</v>
      </c>
      <c r="AH74" s="1684">
        <f t="shared" si="33"/>
        <v>0</v>
      </c>
      <c r="AI74" s="1684">
        <f t="shared" si="33"/>
        <v>0</v>
      </c>
      <c r="AJ74" s="1684">
        <f t="shared" si="33"/>
        <v>0</v>
      </c>
      <c r="AK74" s="1684">
        <f t="shared" si="33"/>
        <v>0</v>
      </c>
      <c r="AL74" s="1684">
        <f t="shared" si="33"/>
        <v>0</v>
      </c>
      <c r="AM74" s="1684">
        <f t="shared" si="33"/>
        <v>0</v>
      </c>
      <c r="AN74" s="1684">
        <f t="shared" si="33"/>
        <v>0</v>
      </c>
      <c r="AO74" s="1684">
        <f t="shared" si="33"/>
        <v>0</v>
      </c>
      <c r="AP74" s="1684">
        <f t="shared" si="33"/>
        <v>0</v>
      </c>
      <c r="AQ74" s="1684">
        <f t="shared" si="33"/>
        <v>0</v>
      </c>
      <c r="AR74" s="1684">
        <f t="shared" si="33"/>
        <v>0</v>
      </c>
      <c r="AS74" s="1684">
        <f t="shared" si="33"/>
        <v>0</v>
      </c>
      <c r="AT74" s="1684">
        <f t="shared" si="33"/>
        <v>0</v>
      </c>
      <c r="AU74" s="1684">
        <f t="shared" si="33"/>
        <v>0</v>
      </c>
      <c r="AV74" s="1684">
        <f t="shared" si="33"/>
        <v>0</v>
      </c>
      <c r="AW74" s="1684">
        <f t="shared" si="33"/>
        <v>0</v>
      </c>
      <c r="AX74" s="1684">
        <f t="shared" si="33"/>
        <v>0</v>
      </c>
      <c r="AY74" s="1684">
        <f t="shared" si="33"/>
        <v>0</v>
      </c>
      <c r="AZ74" s="1684">
        <f t="shared" si="33"/>
        <v>0</v>
      </c>
      <c r="BA74" s="539"/>
      <c r="BB74" s="539"/>
      <c r="BC74" s="539"/>
      <c r="BD74" s="539"/>
      <c r="BE74" s="539"/>
      <c r="BF74" s="539"/>
      <c r="BG74" s="539"/>
      <c r="BH74" s="539"/>
      <c r="BI74" s="539"/>
      <c r="BJ74" s="539"/>
      <c r="BK74" s="539"/>
      <c r="BL74" s="539"/>
      <c r="BM74" s="539"/>
      <c r="BN74" s="539"/>
      <c r="BO74" s="539"/>
      <c r="BP74" s="539"/>
      <c r="BQ74" s="539"/>
      <c r="BR74" s="539"/>
      <c r="BS74" s="539"/>
      <c r="BT74" s="539"/>
      <c r="BU74" s="539"/>
      <c r="BV74" s="539"/>
      <c r="BW74" s="539"/>
      <c r="BX74" s="539"/>
      <c r="BY74" s="539"/>
      <c r="BZ74" s="539"/>
      <c r="CA74" s="539"/>
      <c r="CB74" s="539"/>
      <c r="CC74" s="539"/>
      <c r="CD74" s="539"/>
      <c r="CE74" s="539"/>
      <c r="CF74" s="539"/>
      <c r="CG74" s="539"/>
      <c r="CH74" s="539"/>
      <c r="CI74" s="539"/>
      <c r="CJ74" s="539"/>
      <c r="CK74" s="539"/>
      <c r="CL74" s="539"/>
      <c r="CM74" s="539"/>
      <c r="CN74" s="539"/>
      <c r="CO74" s="539"/>
      <c r="CP74" s="539"/>
      <c r="CQ74" s="539"/>
      <c r="CR74" s="539"/>
      <c r="CS74" s="539"/>
      <c r="CT74" s="539"/>
      <c r="CU74" s="539"/>
      <c r="CV74" s="539"/>
      <c r="CW74" s="539"/>
      <c r="CX74" s="539"/>
      <c r="CY74" s="539"/>
      <c r="CZ74" s="539"/>
      <c r="DA74" s="539"/>
      <c r="DB74" s="539"/>
      <c r="DC74" s="539"/>
      <c r="DD74" s="539"/>
      <c r="DE74" s="539"/>
      <c r="DF74" s="539"/>
      <c r="DG74" s="539"/>
      <c r="DH74" s="539"/>
      <c r="DI74" s="539"/>
      <c r="DJ74" s="539"/>
      <c r="DK74" s="539"/>
      <c r="DL74" s="539"/>
      <c r="DM74" s="539"/>
      <c r="DN74" s="539"/>
      <c r="DO74" s="539"/>
      <c r="DP74" s="539"/>
      <c r="DQ74" s="539"/>
      <c r="DR74" s="539"/>
      <c r="DS74" s="539"/>
      <c r="DT74" s="539"/>
      <c r="DU74" s="539"/>
      <c r="DV74" s="539"/>
      <c r="DW74" s="539"/>
      <c r="DX74" s="539"/>
      <c r="DY74" s="539"/>
      <c r="DZ74" s="539"/>
      <c r="EA74" s="539"/>
      <c r="EB74" s="539"/>
      <c r="EC74" s="539"/>
      <c r="ED74" s="539"/>
      <c r="EE74" s="539"/>
      <c r="EF74" s="539"/>
      <c r="EG74" s="539"/>
      <c r="EH74" s="539"/>
      <c r="EI74" s="539"/>
      <c r="EJ74" s="539"/>
      <c r="EK74" s="539"/>
      <c r="EL74" s="539"/>
      <c r="EM74" s="539"/>
      <c r="EN74" s="539"/>
      <c r="EO74" s="539"/>
      <c r="EP74" s="539"/>
      <c r="EQ74" s="539"/>
      <c r="ER74" s="539"/>
      <c r="ES74" s="539"/>
      <c r="ET74" s="539"/>
      <c r="EU74" s="539"/>
      <c r="EV74" s="539"/>
      <c r="EW74" s="539"/>
      <c r="EX74" s="539"/>
      <c r="EY74" s="539"/>
      <c r="EZ74" s="539"/>
      <c r="FA74" s="539"/>
      <c r="FB74" s="539"/>
      <c r="FC74" s="539"/>
      <c r="FD74" s="539"/>
      <c r="FE74" s="539"/>
      <c r="FF74" s="539"/>
      <c r="FG74" s="539"/>
      <c r="FH74" s="539"/>
      <c r="FI74" s="539"/>
      <c r="FJ74" s="539"/>
      <c r="FK74" s="539"/>
      <c r="FL74" s="539"/>
      <c r="FM74" s="539"/>
      <c r="FN74" s="539"/>
      <c r="FO74" s="539"/>
      <c r="FP74" s="539"/>
      <c r="FQ74" s="539"/>
      <c r="FR74" s="539"/>
      <c r="FS74" s="539"/>
      <c r="FT74" s="539"/>
      <c r="FU74" s="539"/>
      <c r="FV74" s="539"/>
      <c r="FW74" s="539"/>
      <c r="FX74" s="539"/>
      <c r="FY74" s="539"/>
      <c r="FZ74" s="539"/>
      <c r="GA74" s="539"/>
      <c r="GB74" s="539"/>
      <c r="GC74" s="539"/>
      <c r="GD74" s="539"/>
      <c r="GE74" s="539"/>
      <c r="GF74" s="539"/>
      <c r="GG74" s="539"/>
      <c r="GH74" s="539"/>
      <c r="GI74" s="539"/>
      <c r="GJ74" s="539"/>
      <c r="GK74" s="539"/>
      <c r="GL74" s="539"/>
      <c r="GM74" s="539"/>
      <c r="GN74" s="539"/>
      <c r="GO74" s="539"/>
      <c r="GP74" s="539"/>
      <c r="GQ74" s="539"/>
      <c r="GR74" s="539"/>
      <c r="GS74" s="539"/>
      <c r="GT74" s="539"/>
      <c r="GU74" s="539"/>
      <c r="GV74" s="539"/>
      <c r="GW74" s="539"/>
      <c r="GX74" s="539"/>
      <c r="GY74" s="539"/>
      <c r="GZ74" s="539"/>
      <c r="HA74" s="539"/>
      <c r="HB74" s="539"/>
      <c r="HC74" s="539"/>
      <c r="HD74" s="539"/>
      <c r="HE74" s="539"/>
      <c r="HF74" s="539"/>
      <c r="HG74" s="539"/>
      <c r="HH74" s="539"/>
      <c r="HI74" s="539"/>
      <c r="HJ74" s="539"/>
      <c r="HK74" s="539"/>
      <c r="HL74" s="539"/>
      <c r="HM74" s="539"/>
      <c r="HN74" s="539"/>
      <c r="HO74" s="539"/>
      <c r="HP74" s="539"/>
      <c r="HQ74" s="539"/>
    </row>
    <row r="75" spans="1:225" s="567" customFormat="1" ht="13.5" thickTop="1">
      <c r="A75" s="1685" t="s">
        <v>928</v>
      </c>
      <c r="B75" s="1686">
        <f>SUM(C75:AZ75)</f>
        <v>0</v>
      </c>
      <c r="C75" s="1687">
        <f t="shared" ref="C75:AZ75" si="34">C74</f>
        <v>0</v>
      </c>
      <c r="D75" s="1688">
        <f t="shared" si="34"/>
        <v>0</v>
      </c>
      <c r="E75" s="1688">
        <f t="shared" si="34"/>
        <v>0</v>
      </c>
      <c r="F75" s="1688">
        <f t="shared" si="34"/>
        <v>0</v>
      </c>
      <c r="G75" s="1688">
        <f t="shared" si="34"/>
        <v>0</v>
      </c>
      <c r="H75" s="1688">
        <f t="shared" si="34"/>
        <v>0</v>
      </c>
      <c r="I75" s="1688">
        <f t="shared" si="34"/>
        <v>0</v>
      </c>
      <c r="J75" s="1688">
        <f t="shared" si="34"/>
        <v>0</v>
      </c>
      <c r="K75" s="1688">
        <f t="shared" si="34"/>
        <v>0</v>
      </c>
      <c r="L75" s="1688">
        <f t="shared" si="34"/>
        <v>0</v>
      </c>
      <c r="M75" s="1688">
        <f t="shared" si="34"/>
        <v>0</v>
      </c>
      <c r="N75" s="1688">
        <f t="shared" si="34"/>
        <v>0</v>
      </c>
      <c r="O75" s="1688">
        <f t="shared" si="34"/>
        <v>0</v>
      </c>
      <c r="P75" s="1688">
        <f t="shared" si="34"/>
        <v>0</v>
      </c>
      <c r="Q75" s="1688">
        <f t="shared" si="34"/>
        <v>0</v>
      </c>
      <c r="R75" s="1688">
        <f t="shared" si="34"/>
        <v>0</v>
      </c>
      <c r="S75" s="1688">
        <f t="shared" si="34"/>
        <v>0</v>
      </c>
      <c r="T75" s="1688">
        <f t="shared" si="34"/>
        <v>0</v>
      </c>
      <c r="U75" s="1688">
        <f t="shared" si="34"/>
        <v>0</v>
      </c>
      <c r="V75" s="1688">
        <f t="shared" si="34"/>
        <v>0</v>
      </c>
      <c r="W75" s="1688">
        <f t="shared" si="34"/>
        <v>0</v>
      </c>
      <c r="X75" s="1688">
        <f t="shared" si="34"/>
        <v>0</v>
      </c>
      <c r="Y75" s="1688">
        <f t="shared" si="34"/>
        <v>0</v>
      </c>
      <c r="Z75" s="1688">
        <f t="shared" si="34"/>
        <v>0</v>
      </c>
      <c r="AA75" s="1688">
        <f t="shared" si="34"/>
        <v>0</v>
      </c>
      <c r="AB75" s="1688">
        <f t="shared" si="34"/>
        <v>0</v>
      </c>
      <c r="AC75" s="1688">
        <f t="shared" si="34"/>
        <v>0</v>
      </c>
      <c r="AD75" s="1688">
        <f t="shared" si="34"/>
        <v>0</v>
      </c>
      <c r="AE75" s="1688">
        <f t="shared" si="34"/>
        <v>0</v>
      </c>
      <c r="AF75" s="1688">
        <f t="shared" si="34"/>
        <v>0</v>
      </c>
      <c r="AG75" s="1688">
        <f t="shared" si="34"/>
        <v>0</v>
      </c>
      <c r="AH75" s="1688">
        <f t="shared" si="34"/>
        <v>0</v>
      </c>
      <c r="AI75" s="1688">
        <f t="shared" si="34"/>
        <v>0</v>
      </c>
      <c r="AJ75" s="1688">
        <f t="shared" si="34"/>
        <v>0</v>
      </c>
      <c r="AK75" s="1688">
        <f t="shared" si="34"/>
        <v>0</v>
      </c>
      <c r="AL75" s="1688">
        <f t="shared" si="34"/>
        <v>0</v>
      </c>
      <c r="AM75" s="1688">
        <f t="shared" si="34"/>
        <v>0</v>
      </c>
      <c r="AN75" s="1688">
        <f t="shared" si="34"/>
        <v>0</v>
      </c>
      <c r="AO75" s="1688">
        <f t="shared" si="34"/>
        <v>0</v>
      </c>
      <c r="AP75" s="1688">
        <f t="shared" si="34"/>
        <v>0</v>
      </c>
      <c r="AQ75" s="1688">
        <f t="shared" si="34"/>
        <v>0</v>
      </c>
      <c r="AR75" s="1688">
        <f t="shared" si="34"/>
        <v>0</v>
      </c>
      <c r="AS75" s="1688">
        <f t="shared" si="34"/>
        <v>0</v>
      </c>
      <c r="AT75" s="1688">
        <f t="shared" si="34"/>
        <v>0</v>
      </c>
      <c r="AU75" s="1688">
        <f t="shared" si="34"/>
        <v>0</v>
      </c>
      <c r="AV75" s="1688">
        <f t="shared" si="34"/>
        <v>0</v>
      </c>
      <c r="AW75" s="1688">
        <f t="shared" si="34"/>
        <v>0</v>
      </c>
      <c r="AX75" s="1688">
        <f t="shared" si="34"/>
        <v>0</v>
      </c>
      <c r="AY75" s="1688">
        <f t="shared" si="34"/>
        <v>0</v>
      </c>
      <c r="AZ75" s="1688">
        <f t="shared" si="34"/>
        <v>0</v>
      </c>
      <c r="BA75" s="1689"/>
      <c r="BB75" s="1689"/>
      <c r="BC75" s="1689"/>
      <c r="BD75" s="1689"/>
      <c r="BE75" s="1689"/>
      <c r="BF75" s="1689"/>
      <c r="BG75" s="1689"/>
      <c r="BH75" s="1689"/>
      <c r="BI75" s="1689"/>
      <c r="BJ75" s="1689"/>
      <c r="BK75" s="1689"/>
      <c r="BL75" s="1689"/>
      <c r="BM75" s="1689"/>
      <c r="BN75" s="1689"/>
      <c r="BO75" s="1689"/>
      <c r="BP75" s="1689"/>
      <c r="BQ75" s="1689"/>
      <c r="BR75" s="1689"/>
      <c r="BS75" s="1689"/>
      <c r="BT75" s="1689"/>
      <c r="BU75" s="1689"/>
      <c r="BV75" s="1689"/>
      <c r="BW75" s="1689"/>
      <c r="BX75" s="1689"/>
      <c r="BY75" s="1689"/>
      <c r="BZ75" s="1689"/>
      <c r="CA75" s="1689"/>
      <c r="CB75" s="1689"/>
      <c r="CC75" s="1689"/>
      <c r="CD75" s="1689"/>
      <c r="CE75" s="1689"/>
      <c r="CF75" s="1689"/>
      <c r="CG75" s="1689"/>
      <c r="CH75" s="1689"/>
      <c r="CI75" s="1689"/>
      <c r="CJ75" s="1689"/>
      <c r="CK75" s="1689"/>
      <c r="CL75" s="1689"/>
      <c r="CM75" s="1689"/>
      <c r="CN75" s="1689"/>
      <c r="CO75" s="1689"/>
      <c r="CP75" s="1689"/>
      <c r="CQ75" s="1689"/>
      <c r="CR75" s="1689"/>
      <c r="CS75" s="1689"/>
      <c r="CT75" s="1689"/>
      <c r="CU75" s="1689"/>
      <c r="CV75" s="1689"/>
      <c r="CW75" s="1689"/>
      <c r="CX75" s="1689"/>
      <c r="CY75" s="1689"/>
      <c r="CZ75" s="1689"/>
      <c r="DA75" s="1689"/>
      <c r="DB75" s="1689"/>
      <c r="DC75" s="1689"/>
      <c r="DD75" s="1689"/>
      <c r="DE75" s="1689"/>
      <c r="DF75" s="1689"/>
      <c r="DG75" s="1689"/>
      <c r="DH75" s="1689"/>
      <c r="DI75" s="1689"/>
      <c r="DJ75" s="1689"/>
      <c r="DK75" s="1689"/>
      <c r="DL75" s="1689"/>
      <c r="DM75" s="1689"/>
      <c r="DN75" s="1689"/>
      <c r="DO75" s="1689"/>
      <c r="DP75" s="1689"/>
      <c r="DQ75" s="1689"/>
      <c r="DR75" s="1689"/>
      <c r="DS75" s="1689"/>
      <c r="DT75" s="1689"/>
      <c r="DU75" s="1689"/>
      <c r="DV75" s="1689"/>
      <c r="DW75" s="1689"/>
      <c r="DX75" s="1689"/>
      <c r="DY75" s="1689"/>
      <c r="DZ75" s="1689"/>
      <c r="EA75" s="1689"/>
      <c r="EB75" s="1689"/>
      <c r="EC75" s="1689"/>
      <c r="ED75" s="1689"/>
      <c r="EE75" s="1689"/>
      <c r="EF75" s="1689"/>
      <c r="EG75" s="1689"/>
      <c r="EH75" s="1689"/>
      <c r="EI75" s="1689"/>
      <c r="EJ75" s="1689"/>
      <c r="EK75" s="1689"/>
      <c r="EL75" s="1689"/>
      <c r="EM75" s="1689"/>
      <c r="EN75" s="1689"/>
      <c r="EO75" s="1689"/>
      <c r="EP75" s="1689"/>
      <c r="EQ75" s="1689"/>
      <c r="ER75" s="1689"/>
      <c r="ES75" s="1689"/>
      <c r="ET75" s="1689"/>
      <c r="EU75" s="1689"/>
      <c r="EV75" s="1689"/>
      <c r="EW75" s="1689"/>
      <c r="EX75" s="1689"/>
      <c r="EY75" s="1689"/>
      <c r="EZ75" s="1689"/>
      <c r="FA75" s="1689"/>
      <c r="FB75" s="1689"/>
      <c r="FC75" s="1689"/>
      <c r="FD75" s="1689"/>
      <c r="FE75" s="1689"/>
      <c r="FF75" s="1689"/>
      <c r="FG75" s="1689"/>
      <c r="FH75" s="1689"/>
      <c r="FI75" s="1689"/>
      <c r="FJ75" s="1689"/>
      <c r="FK75" s="1689"/>
      <c r="FL75" s="1689"/>
      <c r="FM75" s="1689"/>
      <c r="FN75" s="1689"/>
      <c r="FO75" s="1689"/>
      <c r="FP75" s="1689"/>
      <c r="FQ75" s="1689"/>
      <c r="FR75" s="1689"/>
      <c r="FS75" s="1689"/>
      <c r="FT75" s="1689"/>
      <c r="FU75" s="1689"/>
      <c r="FV75" s="1689"/>
      <c r="FW75" s="1689"/>
      <c r="FX75" s="1689"/>
      <c r="FY75" s="1689"/>
      <c r="FZ75" s="1689"/>
      <c r="GA75" s="1689"/>
      <c r="GB75" s="1689"/>
      <c r="GC75" s="1689"/>
      <c r="GD75" s="1689"/>
      <c r="GE75" s="1689"/>
      <c r="GF75" s="1689"/>
      <c r="GG75" s="1689"/>
      <c r="GH75" s="1689"/>
      <c r="GI75" s="1689"/>
      <c r="GJ75" s="1689"/>
      <c r="GK75" s="1689"/>
      <c r="GL75" s="1689"/>
      <c r="GM75" s="1689"/>
      <c r="GN75" s="1689"/>
      <c r="GO75" s="1689"/>
      <c r="GP75" s="1689"/>
      <c r="GQ75" s="1689"/>
      <c r="GR75" s="1689"/>
      <c r="GS75" s="1689"/>
      <c r="GT75" s="1689"/>
      <c r="GU75" s="1689"/>
      <c r="GV75" s="1689"/>
      <c r="GW75" s="1689"/>
      <c r="GX75" s="1689"/>
      <c r="GY75" s="1689"/>
      <c r="GZ75" s="1689"/>
      <c r="HA75" s="1689"/>
      <c r="HB75" s="1689"/>
      <c r="HC75" s="1689"/>
      <c r="HD75" s="1689"/>
      <c r="HE75" s="1689"/>
      <c r="HF75" s="1689"/>
      <c r="HG75" s="1689"/>
      <c r="HH75" s="1689"/>
      <c r="HI75" s="1689"/>
      <c r="HJ75" s="1689"/>
      <c r="HK75" s="1689"/>
      <c r="HL75" s="1689"/>
      <c r="HM75" s="1689"/>
      <c r="HN75" s="1689"/>
      <c r="HO75" s="1689"/>
      <c r="HP75" s="1689"/>
      <c r="HQ75" s="1689"/>
    </row>
    <row r="76" spans="1:225" s="686" customFormat="1">
      <c r="A76" s="543" t="s">
        <v>175</v>
      </c>
      <c r="B76" s="1690">
        <f>Setup!L23</f>
        <v>0.8</v>
      </c>
      <c r="C76" s="544">
        <f t="shared" ref="C76:AZ76" si="35">B76</f>
        <v>0.8</v>
      </c>
      <c r="D76" s="545">
        <f t="shared" si="35"/>
        <v>0.8</v>
      </c>
      <c r="E76" s="545">
        <f t="shared" si="35"/>
        <v>0.8</v>
      </c>
      <c r="F76" s="545">
        <f t="shared" si="35"/>
        <v>0.8</v>
      </c>
      <c r="G76" s="545">
        <f t="shared" si="35"/>
        <v>0.8</v>
      </c>
      <c r="H76" s="545">
        <f t="shared" si="35"/>
        <v>0.8</v>
      </c>
      <c r="I76" s="545">
        <f t="shared" si="35"/>
        <v>0.8</v>
      </c>
      <c r="J76" s="545">
        <f t="shared" si="35"/>
        <v>0.8</v>
      </c>
      <c r="K76" s="545">
        <f t="shared" si="35"/>
        <v>0.8</v>
      </c>
      <c r="L76" s="545">
        <f t="shared" si="35"/>
        <v>0.8</v>
      </c>
      <c r="M76" s="545">
        <f t="shared" si="35"/>
        <v>0.8</v>
      </c>
      <c r="N76" s="545">
        <f t="shared" si="35"/>
        <v>0.8</v>
      </c>
      <c r="O76" s="545">
        <f t="shared" si="35"/>
        <v>0.8</v>
      </c>
      <c r="P76" s="545">
        <f t="shared" si="35"/>
        <v>0.8</v>
      </c>
      <c r="Q76" s="545">
        <f t="shared" si="35"/>
        <v>0.8</v>
      </c>
      <c r="R76" s="545">
        <f t="shared" si="35"/>
        <v>0.8</v>
      </c>
      <c r="S76" s="545">
        <f t="shared" si="35"/>
        <v>0.8</v>
      </c>
      <c r="T76" s="545">
        <f t="shared" si="35"/>
        <v>0.8</v>
      </c>
      <c r="U76" s="545">
        <f t="shared" si="35"/>
        <v>0.8</v>
      </c>
      <c r="V76" s="545">
        <f t="shared" si="35"/>
        <v>0.8</v>
      </c>
      <c r="W76" s="545">
        <f t="shared" si="35"/>
        <v>0.8</v>
      </c>
      <c r="X76" s="545">
        <f t="shared" si="35"/>
        <v>0.8</v>
      </c>
      <c r="Y76" s="545">
        <f t="shared" si="35"/>
        <v>0.8</v>
      </c>
      <c r="Z76" s="545">
        <f t="shared" si="35"/>
        <v>0.8</v>
      </c>
      <c r="AA76" s="545">
        <f t="shared" si="35"/>
        <v>0.8</v>
      </c>
      <c r="AB76" s="545">
        <f t="shared" si="35"/>
        <v>0.8</v>
      </c>
      <c r="AC76" s="545">
        <f t="shared" si="35"/>
        <v>0.8</v>
      </c>
      <c r="AD76" s="545">
        <f t="shared" si="35"/>
        <v>0.8</v>
      </c>
      <c r="AE76" s="545">
        <f t="shared" si="35"/>
        <v>0.8</v>
      </c>
      <c r="AF76" s="545">
        <f t="shared" si="35"/>
        <v>0.8</v>
      </c>
      <c r="AG76" s="545">
        <f t="shared" si="35"/>
        <v>0.8</v>
      </c>
      <c r="AH76" s="545">
        <f t="shared" si="35"/>
        <v>0.8</v>
      </c>
      <c r="AI76" s="545">
        <f t="shared" si="35"/>
        <v>0.8</v>
      </c>
      <c r="AJ76" s="545">
        <f t="shared" si="35"/>
        <v>0.8</v>
      </c>
      <c r="AK76" s="545">
        <f t="shared" si="35"/>
        <v>0.8</v>
      </c>
      <c r="AL76" s="545">
        <f t="shared" si="35"/>
        <v>0.8</v>
      </c>
      <c r="AM76" s="545">
        <f t="shared" si="35"/>
        <v>0.8</v>
      </c>
      <c r="AN76" s="545">
        <f t="shared" si="35"/>
        <v>0.8</v>
      </c>
      <c r="AO76" s="545">
        <f t="shared" si="35"/>
        <v>0.8</v>
      </c>
      <c r="AP76" s="545">
        <f t="shared" si="35"/>
        <v>0.8</v>
      </c>
      <c r="AQ76" s="545">
        <f t="shared" si="35"/>
        <v>0.8</v>
      </c>
      <c r="AR76" s="545">
        <f t="shared" si="35"/>
        <v>0.8</v>
      </c>
      <c r="AS76" s="545">
        <f t="shared" si="35"/>
        <v>0.8</v>
      </c>
      <c r="AT76" s="545">
        <f t="shared" si="35"/>
        <v>0.8</v>
      </c>
      <c r="AU76" s="545">
        <f t="shared" si="35"/>
        <v>0.8</v>
      </c>
      <c r="AV76" s="545">
        <f t="shared" si="35"/>
        <v>0.8</v>
      </c>
      <c r="AW76" s="545">
        <f t="shared" si="35"/>
        <v>0.8</v>
      </c>
      <c r="AX76" s="545">
        <f t="shared" si="35"/>
        <v>0.8</v>
      </c>
      <c r="AY76" s="545">
        <f t="shared" si="35"/>
        <v>0.8</v>
      </c>
      <c r="AZ76" s="545">
        <f t="shared" si="35"/>
        <v>0.8</v>
      </c>
      <c r="BA76" s="546"/>
      <c r="BB76" s="546"/>
      <c r="BC76" s="546"/>
      <c r="BD76" s="546"/>
      <c r="BE76" s="546"/>
      <c r="BF76" s="546"/>
      <c r="BG76" s="546"/>
      <c r="BH76" s="546"/>
      <c r="BI76" s="546"/>
      <c r="BJ76" s="546"/>
      <c r="BK76" s="546"/>
      <c r="BL76" s="546"/>
      <c r="BM76" s="546"/>
      <c r="BN76" s="546"/>
      <c r="BO76" s="546"/>
      <c r="BP76" s="546"/>
      <c r="BQ76" s="546"/>
      <c r="BR76" s="546"/>
      <c r="BS76" s="546"/>
      <c r="BT76" s="546"/>
      <c r="BU76" s="546"/>
      <c r="BV76" s="546"/>
      <c r="BW76" s="546"/>
      <c r="BX76" s="546"/>
      <c r="BY76" s="546"/>
      <c r="BZ76" s="546"/>
      <c r="CA76" s="546"/>
      <c r="CB76" s="546"/>
      <c r="CC76" s="546"/>
      <c r="CD76" s="546"/>
      <c r="CE76" s="546"/>
      <c r="CF76" s="546"/>
      <c r="CG76" s="546"/>
      <c r="CH76" s="546"/>
      <c r="CI76" s="546"/>
      <c r="CJ76" s="546"/>
      <c r="CK76" s="546"/>
      <c r="CL76" s="546"/>
      <c r="CM76" s="546"/>
      <c r="CN76" s="546"/>
      <c r="CO76" s="546"/>
      <c r="CP76" s="546"/>
      <c r="CQ76" s="546"/>
      <c r="CR76" s="546"/>
      <c r="CS76" s="546"/>
      <c r="CT76" s="546"/>
      <c r="CU76" s="546"/>
      <c r="CV76" s="546"/>
      <c r="CW76" s="546"/>
      <c r="CX76" s="546"/>
      <c r="CY76" s="546"/>
      <c r="CZ76" s="546"/>
      <c r="DA76" s="546"/>
      <c r="DB76" s="546"/>
      <c r="DC76" s="546"/>
      <c r="DD76" s="546"/>
      <c r="DE76" s="546"/>
      <c r="DF76" s="546"/>
      <c r="DG76" s="546"/>
      <c r="DH76" s="546"/>
      <c r="DI76" s="546"/>
      <c r="DJ76" s="546"/>
      <c r="DK76" s="546"/>
      <c r="DL76" s="546"/>
      <c r="DM76" s="546"/>
      <c r="DN76" s="546"/>
      <c r="DO76" s="546"/>
      <c r="DP76" s="546"/>
      <c r="DQ76" s="546"/>
      <c r="DR76" s="546"/>
      <c r="DS76" s="546"/>
      <c r="DT76" s="546"/>
      <c r="DU76" s="546"/>
      <c r="DV76" s="546"/>
      <c r="DW76" s="546"/>
      <c r="DX76" s="546"/>
      <c r="DY76" s="546"/>
      <c r="DZ76" s="546"/>
      <c r="EA76" s="546"/>
      <c r="EB76" s="546"/>
      <c r="EC76" s="546"/>
      <c r="ED76" s="546"/>
      <c r="EE76" s="546"/>
      <c r="EF76" s="546"/>
      <c r="EG76" s="546"/>
      <c r="EH76" s="546"/>
      <c r="EI76" s="546"/>
      <c r="EJ76" s="546"/>
      <c r="EK76" s="546"/>
      <c r="EL76" s="546"/>
      <c r="EM76" s="546"/>
      <c r="EN76" s="546"/>
      <c r="EO76" s="546"/>
      <c r="EP76" s="546"/>
      <c r="EQ76" s="546"/>
      <c r="ER76" s="546"/>
      <c r="ES76" s="546"/>
      <c r="ET76" s="546"/>
      <c r="EU76" s="546"/>
      <c r="EV76" s="546"/>
      <c r="EW76" s="546"/>
      <c r="EX76" s="546"/>
      <c r="EY76" s="546"/>
      <c r="EZ76" s="546"/>
      <c r="FA76" s="546"/>
      <c r="FB76" s="546"/>
      <c r="FC76" s="546"/>
      <c r="FD76" s="546"/>
      <c r="FE76" s="546"/>
      <c r="FF76" s="546"/>
      <c r="FG76" s="546"/>
      <c r="FH76" s="546"/>
      <c r="FI76" s="546"/>
      <c r="FJ76" s="546"/>
      <c r="FK76" s="546"/>
      <c r="FL76" s="546"/>
      <c r="FM76" s="546"/>
      <c r="FN76" s="546"/>
      <c r="FO76" s="546"/>
      <c r="FP76" s="546"/>
      <c r="FQ76" s="546"/>
      <c r="FR76" s="546"/>
      <c r="FS76" s="546"/>
      <c r="FT76" s="546"/>
      <c r="FU76" s="546"/>
      <c r="FV76" s="546"/>
      <c r="FW76" s="546"/>
      <c r="FX76" s="546"/>
      <c r="FY76" s="546"/>
      <c r="FZ76" s="546"/>
      <c r="GA76" s="546"/>
      <c r="GB76" s="546"/>
      <c r="GC76" s="546"/>
      <c r="GD76" s="546"/>
      <c r="GE76" s="546"/>
      <c r="GF76" s="546"/>
      <c r="GG76" s="546"/>
      <c r="GH76" s="546"/>
      <c r="GI76" s="546"/>
      <c r="GJ76" s="546"/>
      <c r="GK76" s="546"/>
      <c r="GL76" s="546"/>
      <c r="GM76" s="546"/>
      <c r="GN76" s="546"/>
      <c r="GO76" s="546"/>
      <c r="GP76" s="546"/>
      <c r="GQ76" s="546"/>
      <c r="GR76" s="546"/>
      <c r="GS76" s="546"/>
      <c r="GT76" s="546"/>
      <c r="GU76" s="546"/>
      <c r="GV76" s="546"/>
      <c r="GW76" s="546"/>
      <c r="GX76" s="546"/>
      <c r="GY76" s="546"/>
      <c r="GZ76" s="546"/>
      <c r="HA76" s="546"/>
      <c r="HB76" s="546"/>
      <c r="HC76" s="546"/>
      <c r="HD76" s="546"/>
      <c r="HE76" s="546"/>
      <c r="HF76" s="546"/>
      <c r="HG76" s="546"/>
      <c r="HH76" s="546"/>
      <c r="HI76" s="546"/>
      <c r="HJ76" s="546"/>
      <c r="HK76" s="546"/>
      <c r="HL76" s="546"/>
      <c r="HM76" s="546"/>
      <c r="HN76" s="546"/>
      <c r="HO76" s="546"/>
      <c r="HP76" s="546"/>
      <c r="HQ76" s="546"/>
    </row>
    <row r="77" spans="1:225" s="567" customFormat="1" ht="13.5" thickBot="1">
      <c r="A77" s="1691" t="s">
        <v>674</v>
      </c>
      <c r="B77" s="1692">
        <f>SUM(C77:AZ77)</f>
        <v>0</v>
      </c>
      <c r="C77" s="1693">
        <f t="shared" ref="C77:AZ77" si="36">ROUND(C76*C75,0)</f>
        <v>0</v>
      </c>
      <c r="D77" s="1694">
        <f t="shared" si="36"/>
        <v>0</v>
      </c>
      <c r="E77" s="1694">
        <f t="shared" si="36"/>
        <v>0</v>
      </c>
      <c r="F77" s="1694">
        <f t="shared" si="36"/>
        <v>0</v>
      </c>
      <c r="G77" s="1694">
        <f t="shared" si="36"/>
        <v>0</v>
      </c>
      <c r="H77" s="1694">
        <f t="shared" si="36"/>
        <v>0</v>
      </c>
      <c r="I77" s="1694">
        <f t="shared" si="36"/>
        <v>0</v>
      </c>
      <c r="J77" s="1694">
        <f t="shared" si="36"/>
        <v>0</v>
      </c>
      <c r="K77" s="1694">
        <f t="shared" si="36"/>
        <v>0</v>
      </c>
      <c r="L77" s="1694">
        <f t="shared" si="36"/>
        <v>0</v>
      </c>
      <c r="M77" s="1694">
        <f t="shared" si="36"/>
        <v>0</v>
      </c>
      <c r="N77" s="1694">
        <f t="shared" si="36"/>
        <v>0</v>
      </c>
      <c r="O77" s="1694">
        <f t="shared" si="36"/>
        <v>0</v>
      </c>
      <c r="P77" s="1694">
        <f t="shared" si="36"/>
        <v>0</v>
      </c>
      <c r="Q77" s="1694">
        <f t="shared" si="36"/>
        <v>0</v>
      </c>
      <c r="R77" s="1694">
        <f t="shared" si="36"/>
        <v>0</v>
      </c>
      <c r="S77" s="1694">
        <f t="shared" si="36"/>
        <v>0</v>
      </c>
      <c r="T77" s="1694">
        <f t="shared" si="36"/>
        <v>0</v>
      </c>
      <c r="U77" s="1694">
        <f t="shared" si="36"/>
        <v>0</v>
      </c>
      <c r="V77" s="1694">
        <f t="shared" si="36"/>
        <v>0</v>
      </c>
      <c r="W77" s="1694">
        <f t="shared" si="36"/>
        <v>0</v>
      </c>
      <c r="X77" s="1694">
        <f t="shared" si="36"/>
        <v>0</v>
      </c>
      <c r="Y77" s="1694">
        <f t="shared" si="36"/>
        <v>0</v>
      </c>
      <c r="Z77" s="1694">
        <f t="shared" si="36"/>
        <v>0</v>
      </c>
      <c r="AA77" s="1694">
        <f t="shared" si="36"/>
        <v>0</v>
      </c>
      <c r="AB77" s="1694">
        <f t="shared" si="36"/>
        <v>0</v>
      </c>
      <c r="AC77" s="1694">
        <f t="shared" si="36"/>
        <v>0</v>
      </c>
      <c r="AD77" s="1694">
        <f t="shared" si="36"/>
        <v>0</v>
      </c>
      <c r="AE77" s="1694">
        <f t="shared" si="36"/>
        <v>0</v>
      </c>
      <c r="AF77" s="1694">
        <f t="shared" si="36"/>
        <v>0</v>
      </c>
      <c r="AG77" s="1694">
        <f t="shared" si="36"/>
        <v>0</v>
      </c>
      <c r="AH77" s="1694">
        <f t="shared" si="36"/>
        <v>0</v>
      </c>
      <c r="AI77" s="1694">
        <f t="shared" si="36"/>
        <v>0</v>
      </c>
      <c r="AJ77" s="1694">
        <f t="shared" si="36"/>
        <v>0</v>
      </c>
      <c r="AK77" s="1694">
        <f t="shared" si="36"/>
        <v>0</v>
      </c>
      <c r="AL77" s="1694">
        <f t="shared" si="36"/>
        <v>0</v>
      </c>
      <c r="AM77" s="1694">
        <f t="shared" si="36"/>
        <v>0</v>
      </c>
      <c r="AN77" s="1694">
        <f t="shared" si="36"/>
        <v>0</v>
      </c>
      <c r="AO77" s="1694">
        <f t="shared" si="36"/>
        <v>0</v>
      </c>
      <c r="AP77" s="1694">
        <f t="shared" si="36"/>
        <v>0</v>
      </c>
      <c r="AQ77" s="1694">
        <f t="shared" si="36"/>
        <v>0</v>
      </c>
      <c r="AR77" s="1694">
        <f t="shared" si="36"/>
        <v>0</v>
      </c>
      <c r="AS77" s="1694">
        <f t="shared" si="36"/>
        <v>0</v>
      </c>
      <c r="AT77" s="1694">
        <f t="shared" si="36"/>
        <v>0</v>
      </c>
      <c r="AU77" s="1694">
        <f t="shared" si="36"/>
        <v>0</v>
      </c>
      <c r="AV77" s="1694">
        <f t="shared" si="36"/>
        <v>0</v>
      </c>
      <c r="AW77" s="1694">
        <f t="shared" si="36"/>
        <v>0</v>
      </c>
      <c r="AX77" s="1694">
        <f t="shared" si="36"/>
        <v>0</v>
      </c>
      <c r="AY77" s="1694">
        <f t="shared" si="36"/>
        <v>0</v>
      </c>
      <c r="AZ77" s="1694">
        <f t="shared" si="36"/>
        <v>0</v>
      </c>
      <c r="BA77" s="1689"/>
      <c r="BB77" s="1689"/>
      <c r="BC77" s="1689"/>
      <c r="BD77" s="1689"/>
      <c r="BE77" s="1689"/>
      <c r="BF77" s="1689"/>
      <c r="BG77" s="1689"/>
      <c r="BH77" s="1689"/>
      <c r="BI77" s="1689"/>
      <c r="BJ77" s="1689"/>
      <c r="BK77" s="1689"/>
      <c r="BL77" s="1689"/>
      <c r="BM77" s="1689"/>
      <c r="BN77" s="1689"/>
      <c r="BO77" s="1689"/>
      <c r="BP77" s="1689"/>
      <c r="BQ77" s="1689"/>
      <c r="BR77" s="1689"/>
      <c r="BS77" s="1689"/>
      <c r="BT77" s="1689"/>
      <c r="BU77" s="1689"/>
      <c r="BV77" s="1689"/>
      <c r="BW77" s="1689"/>
      <c r="BX77" s="1689"/>
      <c r="BY77" s="1689"/>
      <c r="BZ77" s="1689"/>
      <c r="CA77" s="1689"/>
      <c r="CB77" s="1689"/>
      <c r="CC77" s="1689"/>
      <c r="CD77" s="1689"/>
      <c r="CE77" s="1689"/>
      <c r="CF77" s="1689"/>
      <c r="CG77" s="1689"/>
      <c r="CH77" s="1689"/>
      <c r="CI77" s="1689"/>
      <c r="CJ77" s="1689"/>
      <c r="CK77" s="1689"/>
      <c r="CL77" s="1689"/>
      <c r="CM77" s="1689"/>
      <c r="CN77" s="1689"/>
      <c r="CO77" s="1689"/>
      <c r="CP77" s="1689"/>
      <c r="CQ77" s="1689"/>
      <c r="CR77" s="1689"/>
      <c r="CS77" s="1689"/>
      <c r="CT77" s="1689"/>
      <c r="CU77" s="1689"/>
      <c r="CV77" s="1689"/>
      <c r="CW77" s="1689"/>
      <c r="CX77" s="1689"/>
      <c r="CY77" s="1689"/>
      <c r="CZ77" s="1689"/>
      <c r="DA77" s="1689"/>
      <c r="DB77" s="1689"/>
      <c r="DC77" s="1689"/>
      <c r="DD77" s="1689"/>
      <c r="DE77" s="1689"/>
      <c r="DF77" s="1689"/>
      <c r="DG77" s="1689"/>
      <c r="DH77" s="1689"/>
      <c r="DI77" s="1689"/>
      <c r="DJ77" s="1689"/>
      <c r="DK77" s="1689"/>
      <c r="DL77" s="1689"/>
      <c r="DM77" s="1689"/>
      <c r="DN77" s="1689"/>
      <c r="DO77" s="1689"/>
      <c r="DP77" s="1689"/>
      <c r="DQ77" s="1689"/>
      <c r="DR77" s="1689"/>
      <c r="DS77" s="1689"/>
      <c r="DT77" s="1689"/>
      <c r="DU77" s="1689"/>
      <c r="DV77" s="1689"/>
      <c r="DW77" s="1689"/>
      <c r="DX77" s="1689"/>
      <c r="DY77" s="1689"/>
      <c r="DZ77" s="1689"/>
      <c r="EA77" s="1689"/>
      <c r="EB77" s="1689"/>
      <c r="EC77" s="1689"/>
      <c r="ED77" s="1689"/>
      <c r="EE77" s="1689"/>
      <c r="EF77" s="1689"/>
      <c r="EG77" s="1689"/>
      <c r="EH77" s="1689"/>
      <c r="EI77" s="1689"/>
      <c r="EJ77" s="1689"/>
      <c r="EK77" s="1689"/>
      <c r="EL77" s="1689"/>
      <c r="EM77" s="1689"/>
      <c r="EN77" s="1689"/>
      <c r="EO77" s="1689"/>
      <c r="EP77" s="1689"/>
      <c r="EQ77" s="1689"/>
      <c r="ER77" s="1689"/>
      <c r="ES77" s="1689"/>
      <c r="ET77" s="1689"/>
      <c r="EU77" s="1689"/>
      <c r="EV77" s="1689"/>
      <c r="EW77" s="1689"/>
      <c r="EX77" s="1689"/>
      <c r="EY77" s="1689"/>
      <c r="EZ77" s="1689"/>
      <c r="FA77" s="1689"/>
      <c r="FB77" s="1689"/>
      <c r="FC77" s="1689"/>
      <c r="FD77" s="1689"/>
      <c r="FE77" s="1689"/>
      <c r="FF77" s="1689"/>
      <c r="FG77" s="1689"/>
      <c r="FH77" s="1689"/>
      <c r="FI77" s="1689"/>
      <c r="FJ77" s="1689"/>
      <c r="FK77" s="1689"/>
      <c r="FL77" s="1689"/>
      <c r="FM77" s="1689"/>
      <c r="FN77" s="1689"/>
      <c r="FO77" s="1689"/>
      <c r="FP77" s="1689"/>
      <c r="FQ77" s="1689"/>
      <c r="FR77" s="1689"/>
      <c r="FS77" s="1689"/>
      <c r="FT77" s="1689"/>
      <c r="FU77" s="1689"/>
      <c r="FV77" s="1689"/>
      <c r="FW77" s="1689"/>
      <c r="FX77" s="1689"/>
      <c r="FY77" s="1689"/>
      <c r="FZ77" s="1689"/>
      <c r="GA77" s="1689"/>
      <c r="GB77" s="1689"/>
      <c r="GC77" s="1689"/>
      <c r="GD77" s="1689"/>
      <c r="GE77" s="1689"/>
      <c r="GF77" s="1689"/>
      <c r="GG77" s="1689"/>
      <c r="GH77" s="1689"/>
      <c r="GI77" s="1689"/>
      <c r="GJ77" s="1689"/>
      <c r="GK77" s="1689"/>
      <c r="GL77" s="1689"/>
      <c r="GM77" s="1689"/>
      <c r="GN77" s="1689"/>
      <c r="GO77" s="1689"/>
      <c r="GP77" s="1689"/>
      <c r="GQ77" s="1689"/>
      <c r="GR77" s="1689"/>
      <c r="GS77" s="1689"/>
      <c r="GT77" s="1689"/>
      <c r="GU77" s="1689"/>
      <c r="GV77" s="1689"/>
      <c r="GW77" s="1689"/>
      <c r="GX77" s="1689"/>
      <c r="GY77" s="1689"/>
      <c r="GZ77" s="1689"/>
      <c r="HA77" s="1689"/>
      <c r="HB77" s="1689"/>
      <c r="HC77" s="1689"/>
      <c r="HD77" s="1689"/>
      <c r="HE77" s="1689"/>
      <c r="HF77" s="1689"/>
      <c r="HG77" s="1689"/>
      <c r="HH77" s="1689"/>
      <c r="HI77" s="1689"/>
      <c r="HJ77" s="1689"/>
      <c r="HK77" s="1689"/>
      <c r="HL77" s="1689"/>
      <c r="HM77" s="1689"/>
      <c r="HN77" s="1689"/>
      <c r="HO77" s="1689"/>
      <c r="HP77" s="1689"/>
      <c r="HQ77" s="1689"/>
    </row>
    <row r="80" spans="1:225" hidden="1">
      <c r="A80" s="389">
        <f>(('Units&amp;Income'!$AV$94-'Units&amp;Income'!$G$94)-'Units&amp;Income'!$F$94)</f>
        <v>0</v>
      </c>
      <c r="C80" s="1514"/>
      <c r="H80" s="1563"/>
      <c r="N80" s="1564"/>
    </row>
  </sheetData>
  <sheetProtection algorithmName="SHA-512" hashValue="6aLhWwX2nuU7FdZflN9CzSao9BP3qLx5qoH+37y7Dng4WBW6QqkQbmZSGIvbJB7mF1Eu7KiR3Lv0U7BOGosFZA==" saltValue="ThmTjeaxk9BVxiIftmVV7A==" spinCount="100000" sheet="1" objects="1" scenarios="1"/>
  <phoneticPr fontId="53" type="noConversion"/>
  <dataValidations xWindow="722" yWindow="336" count="49">
    <dataValidation type="list" allowBlank="1" sqref="C9:AZ9" xr:uid="{00000000-0002-0000-0C00-000000000000}">
      <formula1>BldgType</formula1>
    </dataValidation>
    <dataValidation allowBlank="1" showInputMessage="1" showErrorMessage="1" promptTitle="Name" prompt="The Building Names are defaulted as &quot;Building #1&quot;, #2, etc, but can be overwritten." sqref="A6:XFD6" xr:uid="{00000000-0002-0000-0C00-000001000000}"/>
    <dataValidation allowBlank="1" showInputMessage="1" showErrorMessage="1" promptTitle="Building Type" prompt="The type is defaulted to the selection made on the Setup Tab. To modify the selection, select from the drop down list." sqref="A7:B7" xr:uid="{00000000-0002-0000-0C00-000002000000}"/>
    <dataValidation allowBlank="1" showInputMessage="1" promptTitle="Census Tract" prompt="The census tract is defaulted to the value entered on the Setup tab, but can be overwritten here." sqref="A8:XFD8" xr:uid="{00000000-0002-0000-0C00-000003000000}"/>
    <dataValidation type="list" allowBlank="1" showInputMessage="1" promptTitle="Construction Start Date" prompt="The start date is defaulted to the Construction Loan Closing date entered on the Setup tab, but can be modified." sqref="A10:XFD10" xr:uid="{00000000-0002-0000-0C00-000004000000}">
      <formula1>BldgType</formula1>
    </dataValidation>
    <dataValidation type="list" allowBlank="1" showInputMessage="1" promptTitle="Construction End Date" prompt="The end date is defaulted to the Construction Completion date entered on the Setup tab and can be overwritten." sqref="A11:XFD11" xr:uid="{00000000-0002-0000-0C00-000005000000}">
      <formula1>BldgType</formula1>
    </dataValidation>
    <dataValidation type="list" allowBlank="1" showInputMessage="1" promptTitle="Date Placed In Service" prompt="This date is defaulted to the 100% occupancy value calculated on the Setup tab, but can be overwritten." sqref="A12:XFD12" xr:uid="{00000000-0002-0000-0C00-000006000000}">
      <formula1>BldgType</formula1>
    </dataValidation>
    <dataValidation allowBlank="1" showInputMessage="1" showErrorMessage="1" promptTitle="Address" prompt="Enter the address of each building." sqref="A13:XFD13" xr:uid="{00000000-0002-0000-0C00-000007000000}"/>
    <dataValidation allowBlank="1" showInputMessage="1" showErrorMessage="1" promptTitle="Gross Square Feet" prompt="The gross square feet entered in the Setup tab is evenly allocated to each building in the project, but can be overwritten. The % of total square footage determines how the LIHTCs are allocated to each building." sqref="A14:XFD14" xr:uid="{00000000-0002-0000-0C00-000008000000}"/>
    <dataValidation allowBlank="1" showInputMessage="1" showErrorMessage="1" promptTitle="LIHTC Percent" prompt="Enter the number of LIHTC Units and Square Feet on the Buildings Tab. This value is the lesser of the percent of units or square feet." sqref="D37:K37" xr:uid="{00000000-0002-0000-0C00-000009000000}"/>
    <dataValidation allowBlank="1" showInputMessage="1" showErrorMessage="1" promptTitle="LIHTC Percent" prompt="This value is the lesser of the percent of units or square feet._x000a_The LIHTC Units and LIHTC Square Feet for individual buildings are entered on the Buildings Tab." sqref="C37:C38 C47" xr:uid="{00000000-0002-0000-0C00-00000A000000}"/>
    <dataValidation allowBlank="1" showInputMessage="1" showErrorMessage="1" promptTitle="% LIHTC Units" prompt="This is the # of LIHTC units/ (All Residential Units - RM Units). _x000a_To modify the number of LIHTC units in each building, go to the Buildings tab." sqref="A34:XFD34" xr:uid="{00000000-0002-0000-0C00-00000B000000}"/>
    <dataValidation allowBlank="1" showInputMessage="1" showErrorMessage="1" promptTitle="% LIHTC Sq Ft" prompt="The square footage of LIHTC to non-LIHTC buildings is designated on the Buildings tab." sqref="A35:XFD35" xr:uid="{00000000-0002-0000-0C00-00000C000000}"/>
    <dataValidation allowBlank="1" showInputMessage="1" showErrorMessage="1" promptTitle="LIHTC Applicable %" prompt="The applicable percentage is the LESSER of the % of Units or the % of Sq Ft." sqref="A36:XFD36" xr:uid="{00000000-0002-0000-0C00-00000D000000}"/>
    <dataValidation allowBlank="1" showInputMessage="1" showErrorMessage="1" promptTitle="Acquisition Basis" prompt="Acquisition Basis is only shown if the Acquisition Credit = Yes._x000a_Basis is allocated to each building based on that building's gross square footage and cannot be overwritten." sqref="A39:XFD39" xr:uid="{00000000-0002-0000-0C00-00000E000000}"/>
    <dataValidation allowBlank="1" showInputMessage="1" showErrorMessage="1" promptTitle="Less Ineligible Funds" prompt="All funds reduced from basis in the Sources of Funds (cell J24) are automatically reduced from rehab basis. Any reduction in this amount will be applied to acquisition basis." sqref="A50:B50" xr:uid="{00000000-0002-0000-0C00-00000F000000}"/>
    <dataValidation allowBlank="1" showInputMessage="1" showErrorMessage="1" promptTitle="Credits Applied For" prompt="This value is set to = the Maximum LIHTCs but can be overriden. It is necessary to override the amount for each building. The sum of all buildings = total shown in B33." sqref="A59:XFD59" xr:uid="{00000000-0002-0000-0C00-000010000000}"/>
    <dataValidation allowBlank="1" showInputMessage="1" showErrorMessage="1" promptTitle="DOH Allocation" prompt="DOH Allocation = Credits Applied for - IHDA Allocation" sqref="A63 C63:IV63" xr:uid="{00000000-0002-0000-0C00-000011000000}"/>
    <dataValidation allowBlank="1" showInputMessage="1" showErrorMessage="1" promptTitle="IHDA Allocation" prompt="IHDA Allocation = the Credits Applied for if IHDA is listed as the allocating agency. Otherwise, it is listed as $0 for each building. Directly enter the amount allocated by IHDA for each building in the project. DOH Allocation will automatically update." sqref="A62 C62:AZ62" xr:uid="{00000000-0002-0000-0C00-000012000000}"/>
    <dataValidation allowBlank="1" showInputMessage="1" showErrorMessage="1" promptTitle="Total IHDA/ DOH Allocation" prompt="This is the sum of the individual building allocations." sqref="B62:B63" xr:uid="{00000000-0002-0000-0C00-000013000000}"/>
    <dataValidation allowBlank="1" showInputMessage="1" showErrorMessage="1" promptTitle="Acquisition Reduction" prompt="These are entered on the Development Costs tab, Column L. " sqref="A40:XFD40" xr:uid="{00000000-0002-0000-0C00-000014000000}"/>
    <dataValidation allowBlank="1" showInputMessage="1" showErrorMessage="1" promptTitle="Less Ineligible Funds" prompt="This is the total &quot;Bad&quot; funds listed on the Sources tab minus the Ineligible Funds in row 24 (for the Rehab credits)." sqref="A41:XFD41" xr:uid="{00000000-0002-0000-0C00-000015000000}"/>
    <dataValidation allowBlank="1" showInputMessage="1" showErrorMessage="1" promptTitle="Eligible Acquisition Basis" prompt="This is the sum of the previous three rows." sqref="A42:XFD42" xr:uid="{00000000-0002-0000-0C00-000016000000}"/>
    <dataValidation allowBlank="1" showInputMessage="1" showErrorMessage="1" promptTitle="Qualified Basis" prompt="This is Eligible Acquisition Basis * the LIHTC Applicable Percentage." sqref="A43:XFD43" xr:uid="{00000000-0002-0000-0C00-000017000000}"/>
    <dataValidation allowBlank="1" showInputMessage="1" showErrorMessage="1" promptTitle="Tax Rate" prompt="This is the tax rate entered on the Setup tab for the Acquisition Credit." sqref="A44:XFD44" xr:uid="{00000000-0002-0000-0C00-000018000000}"/>
    <dataValidation allowBlank="1" showInputMessage="1" showErrorMessage="1" promptTitle="Rehab Basis" prompt="Rehab Basis is only shown if the Rehab LIHT Credit = Yes._x000a_Basis is allocated to each building based on that building's gross square footage and cannot be overwritten." sqref="A48:XFD48" xr:uid="{00000000-0002-0000-0C00-000019000000}"/>
    <dataValidation allowBlank="1" showInputMessage="1" showErrorMessage="1" promptTitle="Less Rehab Reductions" prompt="These are entered on the Development Costs tab, Column L. " sqref="A49:XFD49" xr:uid="{00000000-0002-0000-0C00-00001A000000}"/>
    <dataValidation allowBlank="1" showInputMessage="1" showErrorMessage="1" promptTitle="Ineligible Funds" prompt="Ineligible Funds are automatically allocated to each building based on that building's square footage and cannot be overwritten." sqref="C50:BA50" xr:uid="{00000000-0002-0000-0C00-00001B000000}"/>
    <dataValidation allowBlank="1" showInputMessage="1" showErrorMessage="1" promptTitle="Less Historic Tax Credits" prompt="This is the negative value entered in Row 75. This value can be overwritten in Row 75." sqref="A51:XFD51" xr:uid="{00000000-0002-0000-0C00-00001C000000}"/>
    <dataValidation allowBlank="1" showInputMessage="1" showErrorMessage="1" promptTitle="Non-Residential HTCs" prompt="These are the historic credits earned on the rehab reductions and reduce the overall reduction of historic credits to the project." sqref="A52:XFD52" xr:uid="{00000000-0002-0000-0C00-00001D000000}"/>
    <dataValidation allowBlank="1" showInputMessage="1" showErrorMessage="1" promptTitle="Eligible Rehab Basis" prompt="This is the sum of the previous 5 rows." sqref="A53:XFD53" xr:uid="{00000000-0002-0000-0C00-00001E000000}"/>
    <dataValidation allowBlank="1" showInputMessage="1" showErrorMessage="1" promptTitle="Credit Rate" prompt="This is the Rehab LIHTC Rate entered on the Setup tab." sqref="A54:XFD54" xr:uid="{00000000-0002-0000-0C00-00001F000000}"/>
    <dataValidation allowBlank="1" showInputMessage="1" showErrorMessage="1" promptTitle="130% Boost" prompt="If the 130% boost was selected on the Setup tab, then = Yes, otherwise No." sqref="A55:XFD55" xr:uid="{00000000-0002-0000-0C00-000020000000}"/>
    <dataValidation allowBlank="1" showInputMessage="1" showErrorMessage="1" promptTitle="Max Rehab Credits" prompt="Maximum Rehab Credits = Eligible Rehab Basis * Credit Rate * LIHTC Applicable Fraction * 1.3 if the boost is Yes." sqref="A56:XFD56" xr:uid="{00000000-0002-0000-0C00-000021000000}"/>
    <dataValidation allowBlank="1" showInputMessage="1" showErrorMessage="1" promptTitle="Maximum LIHTCs" prompt="This is the maximum Acquisition + Rehab credits combined and cannot be overwritten." sqref="A58:XFD58" xr:uid="{00000000-0002-0000-0C00-000022000000}"/>
    <dataValidation allowBlank="1" showInputMessage="1" showErrorMessage="1" promptTitle="% of Maximum" prompt="This value equals Credits Applied For / Maximum LIHTCs and cannot be overwritten." sqref="A60:XFD60" xr:uid="{00000000-0002-0000-0C00-000023000000}"/>
    <dataValidation allowBlank="1" showInputMessage="1" showErrorMessage="1" promptTitle="Price Per Credit" prompt="This is the value entered on the Setup tab and cannot be overwritten here." sqref="A66:XFD66" xr:uid="{00000000-0002-0000-0C00-000024000000}"/>
    <dataValidation allowBlank="1" showInputMessage="1" showErrorMessage="1" promptTitle="LIHTC Equity Generated" prompt="this value = Credits Applied For * 10 * Price Per Credit. This value cannot be overwritten here, but can be on the Setup tab." sqref="A67:XFD67" xr:uid="{00000000-0002-0000-0C00-000025000000}"/>
    <dataValidation allowBlank="1" showInputMessage="1" showErrorMessage="1" promptTitle="Historic Basis" prompt="This is the sum of all (non-Acquisition) Depreciable Building Basis line items entered on the Development Costs screen. Basis is allocated to individual buildings based on the gross square footage of each building." sqref="A70:XFD70" xr:uid="{00000000-0002-0000-0C00-000026000000}"/>
    <dataValidation allowBlank="1" showInputMessage="1" showErrorMessage="1" promptTitle="Historic Reductions" prompt="Reductions are entered in the Development Costs tab, Column M." sqref="A71:XFD71" xr:uid="{00000000-0002-0000-0C00-000027000000}"/>
    <dataValidation allowBlank="1" showInputMessage="1" showErrorMessage="1" promptTitle="Adjusted Basis" prompt="Equals Historic Basis - Reductions." sqref="A72:XFD72" xr:uid="{00000000-0002-0000-0C00-000028000000}"/>
    <dataValidation allowBlank="1" showInputMessage="1" showErrorMessage="1" promptTitle="Historic Credit Rate" prompt="The rate for all qualifying residential buildings = 20%." sqref="A73:XFD73" xr:uid="{00000000-0002-0000-0C00-000029000000}"/>
    <dataValidation allowBlank="1" showInputMessage="1" showErrorMessage="1" promptTitle="Credits Calculated" prompt="The historic credits calculated = Adjusted Basis * Credit Rate." sqref="A74:XFD74" xr:uid="{00000000-0002-0000-0C00-00002A000000}"/>
    <dataValidation allowBlank="1" showInputMessage="1" showErrorMessage="1" promptTitle="Credits Used In Calculations" prompt="This is the amount used for all calculations and is defaulted to the calculated amount, but can be overwritten for each building." sqref="C75:AZ75" xr:uid="{00000000-0002-0000-0C00-00002B000000}"/>
    <dataValidation allowBlank="1" showInputMessage="1" showErrorMessage="1" promptTitle="Total Historic Credits" prompt="This is the sum of the credits for all buildings. This value cannot be overwritten." sqref="B75" xr:uid="{00000000-0002-0000-0C00-00002C000000}"/>
    <dataValidation allowBlank="1" showInputMessage="1" showErrorMessage="1" promptTitle="Price Per Credit" prompt="This value is entered on the Setup Tab and cannot be modified here." sqref="A76:XFD76" xr:uid="{00000000-0002-0000-0C00-00002D000000}"/>
    <dataValidation allowBlank="1" showInputMessage="1" showErrorMessage="1" promptTitle="Equity Generated" prompt="This equals the Credits Used in Calculations * Price per Credit and cannot be modified here. It can be overwritten on the Setup tab, though." sqref="A77:XFD77" xr:uid="{00000000-0002-0000-0C00-00002E000000}"/>
    <dataValidation type="list" allowBlank="1" showInputMessage="1" showErrorMessage="1" promptTitle="Building Type" prompt="The type is defaulted to the selection made on the Setup Tab. To modify the selection, select from the drop down list." sqref="C7:AZ7" xr:uid="{00000000-0002-0000-0C00-00002F000000}">
      <formula1>BuildingTypes</formula1>
    </dataValidation>
    <dataValidation allowBlank="1" showInputMessage="1" showErrorMessage="1" promptTitle="# Units" prompt="BIN #1 number of units is the total LIHTC/ Non-LIHTC/ RM units designated in the Units &amp; Income tab less all other units associated with the remaining BINs." sqref="C16:C18 D17:AZ17" xr:uid="{00000000-0002-0000-0C00-000030000000}"/>
  </dataValidations>
  <pageMargins left="0.75" right="0.75" top="0.67" bottom="0.59" header="0.38" footer="0.3"/>
  <pageSetup scale="78" fitToWidth="3" orientation="portrait" horizontalDpi="1200" verticalDpi="1200" r:id="rId1"/>
  <headerFooter alignWithMargins="0">
    <oddHeader>&amp;C&amp;"Arial,Bold"&amp;12Buildings and Credit Calculations</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AC55"/>
  <sheetViews>
    <sheetView workbookViewId="0">
      <selection activeCell="U10" sqref="U10"/>
    </sheetView>
  </sheetViews>
  <sheetFormatPr defaultColWidth="5.42578125" defaultRowHeight="12"/>
  <cols>
    <col min="1" max="1" width="5.42578125" style="399" customWidth="1"/>
    <col min="2" max="2" width="6.42578125" style="399" customWidth="1"/>
    <col min="3" max="4" width="5.42578125" style="399" customWidth="1"/>
    <col min="5" max="5" width="6.140625" style="399" customWidth="1"/>
    <col min="6" max="6" width="7.85546875" style="399" bestFit="1" customWidth="1"/>
    <col min="7" max="7" width="5.42578125" style="399" customWidth="1"/>
    <col min="8" max="8" width="7.85546875" style="399" customWidth="1"/>
    <col min="9" max="9" width="6" style="399" customWidth="1"/>
    <col min="10" max="10" width="5.42578125" style="399" customWidth="1"/>
    <col min="11" max="11" width="7" style="399" customWidth="1"/>
    <col min="12" max="12" width="6.42578125" style="399" customWidth="1"/>
    <col min="13" max="13" width="6.28515625" style="399" customWidth="1"/>
    <col min="14" max="14" width="5.42578125" style="399" customWidth="1"/>
    <col min="15" max="15" width="6.42578125" style="399" customWidth="1"/>
    <col min="16" max="18" width="5.42578125" style="399" customWidth="1"/>
    <col min="19" max="19" width="6.42578125" style="399" customWidth="1"/>
    <col min="20" max="20" width="6.28515625" style="399" customWidth="1"/>
    <col min="21" max="21" width="5.42578125" style="399" customWidth="1"/>
    <col min="22" max="22" width="5" style="399" customWidth="1"/>
    <col min="23" max="25" width="5.42578125" style="399" customWidth="1"/>
    <col min="26" max="26" width="5.42578125" style="399" hidden="1" customWidth="1"/>
    <col min="27" max="16384" width="5.42578125" style="399"/>
  </cols>
  <sheetData>
    <row r="1" spans="1:29">
      <c r="A1" s="398" t="s">
        <v>827</v>
      </c>
      <c r="K1" s="398" t="s">
        <v>828</v>
      </c>
      <c r="Q1" s="398" t="s">
        <v>196</v>
      </c>
      <c r="Z1" s="400" t="str">
        <f>IF(Setup!$D$12=Lists!Y2,Lists!Z2,IF(Setup!D12=Lists!Y3,Lists!Z3,IF(Setup!D12=Lists!Y4,Lists!Z4,IF(Setup!D12=Lists!Y5,Lists!Z5,IF(Setup!D12=Lists!Y6,Lists!Z6,IF(Setup!D12=Lists!Y7,Lists!Z7,IF(Setup!D12=Lists!Y8,Lists!Z8,0)))))))</f>
        <v>Daniel La Spata</v>
      </c>
      <c r="AA1" s="400"/>
      <c r="AB1" s="400"/>
      <c r="AC1" s="400"/>
    </row>
    <row r="2" spans="1:29">
      <c r="A2" s="399" t="s">
        <v>62</v>
      </c>
      <c r="D2" s="2039" t="str">
        <f>Setup!D7</f>
        <v>Enter Project Name Here</v>
      </c>
      <c r="E2" s="2039"/>
      <c r="F2" s="2039"/>
      <c r="G2" s="2039"/>
      <c r="H2" s="2039"/>
      <c r="I2" s="2039"/>
      <c r="K2" s="399" t="s">
        <v>829</v>
      </c>
      <c r="N2" s="2011">
        <f>Setup!D37</f>
        <v>0</v>
      </c>
      <c r="O2" s="2011"/>
      <c r="Q2" s="399" t="s">
        <v>929</v>
      </c>
      <c r="U2" s="2042">
        <f ca="1">Setup!R26</f>
        <v>44629.414563425926</v>
      </c>
      <c r="V2" s="2042"/>
      <c r="Z2" s="399">
        <f>IF(Setup!D12=Lists!Y9,Lists!Z9,IF(Setup!D12=Lists!Y10,Lists!Z10,IF(Setup!D12=Lists!Y11,Lists!Z11,IF(Setup!D12=Lists!Y12,Lists!Z12,IF(Setup!D12=Lists!Y13,Lists!Z13,IF(Setup!D12=Lists!Y14,Lists!Z14,IF(Setup!D12=Lists!Y15,Lists!Z15,0)))))))</f>
        <v>0</v>
      </c>
    </row>
    <row r="3" spans="1:29">
      <c r="A3" s="399" t="s">
        <v>830</v>
      </c>
      <c r="D3" s="2038">
        <f>Setup!D17</f>
        <v>0</v>
      </c>
      <c r="E3" s="2038"/>
      <c r="F3" s="2038"/>
      <c r="G3" s="2038"/>
      <c r="H3" s="2038"/>
      <c r="I3" s="2038"/>
      <c r="K3" s="399" t="s">
        <v>831</v>
      </c>
      <c r="M3" s="1805"/>
      <c r="N3" s="2015">
        <f>Setup!D38</f>
        <v>100000</v>
      </c>
      <c r="O3" s="2015"/>
      <c r="Q3" s="399" t="s">
        <v>930</v>
      </c>
      <c r="U3" s="2042">
        <f ca="1">Setup!R28</f>
        <v>45359.014563425924</v>
      </c>
      <c r="V3" s="2042"/>
      <c r="Z3" s="399">
        <f>IF(Setup!D12=Lists!Y26,Lists!Z26,IF(Setup!D12=Lists!Y16,Lists!Z16,IF(Setup!D12=Lists!Y17,Lists!Z17,IF(Setup!D12=Lists!Y22,Lists!Z22,IF(Setup!D12=Lists!Y23,Lists!Z23,IF(Setup!D12=Lists!Y24,Lists!Z24,IF(Setup!D12=Lists!Y25,Lists!Z25,0)))))))</f>
        <v>0</v>
      </c>
    </row>
    <row r="4" spans="1:29" ht="12.75" customHeight="1">
      <c r="A4" s="399" t="s">
        <v>832</v>
      </c>
      <c r="C4" s="2038" t="str">
        <f>Setup!D25</f>
        <v>Enter Your Main Contact</v>
      </c>
      <c r="D4" s="2038"/>
      <c r="E4" s="2038"/>
      <c r="F4" s="2038"/>
      <c r="G4" s="1805" t="s">
        <v>833</v>
      </c>
      <c r="H4" s="2043">
        <f>Setup!D27</f>
        <v>0</v>
      </c>
      <c r="I4" s="2043"/>
      <c r="J4" s="2043"/>
      <c r="K4" s="399" t="s">
        <v>834</v>
      </c>
      <c r="M4" s="1805"/>
      <c r="N4" s="2011">
        <f>Setup!D39</f>
        <v>100000</v>
      </c>
      <c r="O4" s="2011"/>
      <c r="Q4" s="399" t="s">
        <v>205</v>
      </c>
      <c r="U4" s="2042">
        <f ca="1">Setup!R29</f>
        <v>45329.014563425924</v>
      </c>
      <c r="V4" s="2042"/>
      <c r="Z4" s="399">
        <f>IF(Setup!D12=Lists!Y27,Lists!Z27,IF(Setup!D12=Lists!Y28,Lists!Z28,IF(Setup!D12=Lists!Y29,Lists!Z29,IF(Setup!D12=Lists!Y30,Lists!Z30,IF(Setup!D12=Lists!Y31,Lists!Z31,IF(Setup!D12=Lists!Y32,Lists!Z32,IF(Setup!D12=Lists!Y33,Lists!Z33,0)))))))</f>
        <v>0</v>
      </c>
    </row>
    <row r="5" spans="1:29">
      <c r="A5" s="399" t="s">
        <v>835</v>
      </c>
      <c r="C5" s="2041">
        <f>Setup!D8</f>
        <v>0</v>
      </c>
      <c r="D5" s="2041"/>
      <c r="E5" s="2041"/>
      <c r="F5" s="2041"/>
      <c r="G5" s="400" t="s">
        <v>836</v>
      </c>
      <c r="H5" s="400"/>
      <c r="I5" s="2038">
        <f>Setup!D11</f>
        <v>0</v>
      </c>
      <c r="J5" s="2038"/>
      <c r="K5" s="399" t="s">
        <v>837</v>
      </c>
      <c r="M5" s="1805"/>
      <c r="N5" s="2011">
        <f>'Units&amp;Income'!C113</f>
        <v>0</v>
      </c>
      <c r="O5" s="2011"/>
      <c r="Q5" s="399" t="s">
        <v>931</v>
      </c>
      <c r="U5" s="2034">
        <f>Lease_Up!M43</f>
        <v>0</v>
      </c>
      <c r="V5" s="2034"/>
      <c r="W5" s="2033"/>
      <c r="X5" s="2033"/>
      <c r="Z5" s="399">
        <f>IF(Setup!D12=Lists!Y34,Lists!Z34,IF(Setup!D12=Lists!Y35,Lists!Z35,IF(Setup!D12=Lists!Y36,Lists!Z36,IF(Setup!D12=Lists!Y37,Lists!Z37,IF(Setup!D12=Lists!Y38,Lists!Z38,IF(Setup!D12=Lists!Y39,Lists!Z39,IF(Setup!D12=Lists!Y40,Lists!Z40,0)))))))</f>
        <v>0</v>
      </c>
    </row>
    <row r="6" spans="1:29" ht="12.2" customHeight="1">
      <c r="A6" s="399" t="s">
        <v>838</v>
      </c>
      <c r="C6" s="1809">
        <f>Setup!D34</f>
        <v>1</v>
      </c>
      <c r="D6" s="400" t="s">
        <v>222</v>
      </c>
      <c r="E6" s="400"/>
      <c r="F6" s="400"/>
      <c r="G6" s="1809">
        <f>Setup!D35</f>
        <v>1</v>
      </c>
      <c r="H6" s="400"/>
      <c r="I6" s="400"/>
      <c r="K6" s="399" t="s">
        <v>840</v>
      </c>
      <c r="M6" s="1805"/>
      <c r="N6" s="2011">
        <f>Setup!D40</f>
        <v>0</v>
      </c>
      <c r="O6" s="2011"/>
      <c r="Q6" s="399" t="s">
        <v>932</v>
      </c>
      <c r="U6" s="964">
        <f>Lease_Up!P43</f>
        <v>0</v>
      </c>
      <c r="V6" s="661">
        <f>(Lease_Up!O43)</f>
        <v>0</v>
      </c>
      <c r="Z6" s="399">
        <f>IF(Setup!D12=Lists!Y41,Lists!Z41,IF(Setup!D12=Lists!Y42,Lists!Z42,IF(Setup!D12=Lists!Y43,Lists!Z43,IF(Setup!D12=Lists!Y44,Lists!Z44,IF(Setup!D12=Lists!Y45,Lists!Z45,IF(Setup!D12=Lists!Y46,Lists!Z46,IF(Setup!D12=Lists!Y18,Lists!Z18,IF(Setup!D12=Lists!Y19,Lists!Z19,0))))))))</f>
        <v>0</v>
      </c>
    </row>
    <row r="7" spans="1:29" ht="12.2" customHeight="1">
      <c r="A7" s="2038" t="s">
        <v>841</v>
      </c>
      <c r="B7" s="2038"/>
      <c r="C7" s="399" t="str">
        <f>Setup!D12</f>
        <v>1st</v>
      </c>
      <c r="D7" s="400" t="s">
        <v>842</v>
      </c>
      <c r="E7" s="400"/>
      <c r="F7" s="400"/>
      <c r="G7" s="2040">
        <f>Setup!D14</f>
        <v>0</v>
      </c>
      <c r="H7" s="2040"/>
      <c r="I7" s="2040"/>
      <c r="K7" s="1809" t="s">
        <v>843</v>
      </c>
      <c r="N7" s="2033" t="str">
        <f>Setup!D41</f>
        <v>Walk-Ups</v>
      </c>
      <c r="O7" s="2033"/>
      <c r="Q7" s="399" t="s">
        <v>853</v>
      </c>
      <c r="U7" s="1807">
        <f>Setup!D5</f>
        <v>1</v>
      </c>
      <c r="V7" s="1810"/>
      <c r="Z7" s="399">
        <f>IF(Setup!D12=Lists!Y47,Lists!Z47,IF(Setup!D12=Lists!Y48,Lists!Z48,IF(Setup!D12=Lists!Y49,Lists!Z49,IF(Setup!D12=Lists!Y50,Lists!Z50,IF(Setup!D12=Lists!Y51,Lists!Z51,IF(Setup!D12=Lists!Y20,Lists!Z20,IF(Setup!D12=Lists!Y21,Lists!Z21,0)))))))</f>
        <v>0</v>
      </c>
    </row>
    <row r="8" spans="1:29">
      <c r="A8" s="399" t="s">
        <v>844</v>
      </c>
      <c r="C8" s="2038" t="str">
        <f>Setup!D13</f>
        <v>Daniel La Spata</v>
      </c>
      <c r="D8" s="2038"/>
      <c r="E8" s="2038"/>
      <c r="F8" s="2038"/>
      <c r="G8" s="1809" t="s">
        <v>845</v>
      </c>
      <c r="I8" s="2038">
        <f>Setup!D16</f>
        <v>0</v>
      </c>
      <c r="J8" s="2038"/>
      <c r="K8" s="2038"/>
      <c r="L8" s="2038"/>
      <c r="N8" s="398" t="s">
        <v>933</v>
      </c>
      <c r="Q8" s="400"/>
    </row>
    <row r="9" spans="1:29">
      <c r="N9" s="403" t="s">
        <v>934</v>
      </c>
      <c r="O9" s="403"/>
      <c r="P9" s="1803" t="s">
        <v>236</v>
      </c>
      <c r="Q9" s="1803" t="s">
        <v>237</v>
      </c>
      <c r="R9" s="1803" t="s">
        <v>238</v>
      </c>
      <c r="S9" s="1803" t="s">
        <v>239</v>
      </c>
      <c r="T9" s="1803" t="s">
        <v>240</v>
      </c>
      <c r="U9" s="404" t="s">
        <v>241</v>
      </c>
      <c r="V9" s="1803" t="s">
        <v>935</v>
      </c>
    </row>
    <row r="10" spans="1:29" ht="14.25" customHeight="1">
      <c r="A10" s="398" t="s">
        <v>936</v>
      </c>
      <c r="L10" s="400"/>
      <c r="N10" s="405">
        <v>0.3</v>
      </c>
      <c r="P10" s="700">
        <f>'Units&amp;Income'!J23</f>
        <v>0</v>
      </c>
      <c r="Q10" s="700">
        <f>'Units&amp;Income'!J37</f>
        <v>0</v>
      </c>
      <c r="R10" s="700">
        <f>'Units&amp;Income'!J51</f>
        <v>0</v>
      </c>
      <c r="S10" s="700">
        <f>'Units&amp;Income'!J65</f>
        <v>0</v>
      </c>
      <c r="T10" s="700">
        <f>'Units&amp;Income'!J79</f>
        <v>0</v>
      </c>
      <c r="U10" s="701">
        <f>'Units&amp;Income'!J93</f>
        <v>0</v>
      </c>
      <c r="V10" s="700">
        <f t="shared" ref="V10:V17" si="0">SUM(P10:U10)</f>
        <v>0</v>
      </c>
    </row>
    <row r="11" spans="1:29">
      <c r="A11" s="399" t="s">
        <v>428</v>
      </c>
      <c r="F11" s="1805">
        <f>'Units&amp;Income'!G94</f>
        <v>0</v>
      </c>
      <c r="G11" s="399" t="s">
        <v>937</v>
      </c>
      <c r="I11" s="2027" t="str">
        <f>Setup!L31</f>
        <v>Chicago DOH</v>
      </c>
      <c r="J11" s="2027"/>
      <c r="K11" s="2027"/>
      <c r="L11" s="400"/>
      <c r="N11" s="405">
        <v>0.4</v>
      </c>
      <c r="P11" s="700">
        <f>'Units&amp;Income'!Q23</f>
        <v>0</v>
      </c>
      <c r="Q11" s="700">
        <f>'Units&amp;Income'!Q37</f>
        <v>0</v>
      </c>
      <c r="R11" s="700">
        <f>'Units&amp;Income'!Q51</f>
        <v>0</v>
      </c>
      <c r="S11" s="700">
        <f>'Units&amp;Income'!Q65</f>
        <v>0</v>
      </c>
      <c r="T11" s="700">
        <f>'Units&amp;Income'!Q79</f>
        <v>0</v>
      </c>
      <c r="U11" s="701">
        <f>'Units&amp;Income'!Q93</f>
        <v>0</v>
      </c>
      <c r="V11" s="700">
        <f t="shared" si="0"/>
        <v>0</v>
      </c>
    </row>
    <row r="12" spans="1:29" ht="12.75" customHeight="1">
      <c r="A12" s="399" t="s">
        <v>938</v>
      </c>
      <c r="E12" s="2011">
        <f>IF('LIHTCs&amp;BLDGs'!B30&gt;0,'LIHTCs&amp;BLDGs'!B30,0)</f>
        <v>0</v>
      </c>
      <c r="F12" s="2011"/>
      <c r="G12" s="399" t="s">
        <v>165</v>
      </c>
      <c r="I12" s="1805"/>
      <c r="J12" s="1805" t="str">
        <f>Setup!K13</f>
        <v>Feb</v>
      </c>
      <c r="K12" s="1805">
        <f>Setup!L13</f>
        <v>2022</v>
      </c>
      <c r="L12" s="400"/>
      <c r="N12" s="405">
        <v>0.5</v>
      </c>
      <c r="P12" s="700">
        <f>'Units&amp;Income'!X23</f>
        <v>0</v>
      </c>
      <c r="Q12" s="700">
        <f>'Units&amp;Income'!X37</f>
        <v>0</v>
      </c>
      <c r="R12" s="700">
        <f>'Units&amp;Income'!X51</f>
        <v>0</v>
      </c>
      <c r="S12" s="700">
        <f>'Units&amp;Income'!X65</f>
        <v>0</v>
      </c>
      <c r="T12" s="700">
        <f>'Units&amp;Income'!X79</f>
        <v>0</v>
      </c>
      <c r="U12" s="701">
        <f>'Units&amp;Income'!X93</f>
        <v>0</v>
      </c>
      <c r="V12" s="700">
        <f t="shared" si="0"/>
        <v>0</v>
      </c>
    </row>
    <row r="13" spans="1:29">
      <c r="A13" s="399" t="s">
        <v>939</v>
      </c>
      <c r="D13" s="406"/>
      <c r="E13" s="2035">
        <f>Setup!L16</f>
        <v>0.8</v>
      </c>
      <c r="F13" s="2035"/>
      <c r="G13" s="399" t="s">
        <v>169</v>
      </c>
      <c r="I13" s="1805"/>
      <c r="J13" s="1805"/>
      <c r="K13" s="1805" t="str">
        <f>Setup!K14</f>
        <v>Yes</v>
      </c>
      <c r="L13" s="400"/>
      <c r="N13" s="405">
        <v>0.6</v>
      </c>
      <c r="P13" s="700">
        <f>'Units&amp;Income'!AE23</f>
        <v>0</v>
      </c>
      <c r="Q13" s="700">
        <f>'Units&amp;Income'!AE37</f>
        <v>0</v>
      </c>
      <c r="R13" s="700">
        <f>'Units&amp;Income'!AE51</f>
        <v>0</v>
      </c>
      <c r="S13" s="700">
        <f>'Units&amp;Income'!AE65</f>
        <v>0</v>
      </c>
      <c r="T13" s="700">
        <f>'Units&amp;Income'!AE79</f>
        <v>0</v>
      </c>
      <c r="U13" s="701">
        <f>'Units&amp;Income'!AE93</f>
        <v>0</v>
      </c>
      <c r="V13" s="700">
        <f t="shared" si="0"/>
        <v>0</v>
      </c>
    </row>
    <row r="14" spans="1:29">
      <c r="A14" s="399" t="s">
        <v>940</v>
      </c>
      <c r="D14" s="406"/>
      <c r="E14" s="2011">
        <f>'LIHTCs&amp;BLDGs'!B75</f>
        <v>0</v>
      </c>
      <c r="F14" s="2011"/>
      <c r="G14" s="399" t="s">
        <v>172</v>
      </c>
      <c r="I14" s="1805"/>
      <c r="J14" s="1805"/>
      <c r="K14" s="1805" t="str">
        <f>Setup!K15</f>
        <v>No</v>
      </c>
      <c r="L14" s="400"/>
      <c r="N14" s="405">
        <v>0.8</v>
      </c>
      <c r="P14" s="700">
        <f>'Units&amp;Income'!AL23</f>
        <v>0</v>
      </c>
      <c r="Q14" s="700">
        <f>'Units&amp;Income'!AL37</f>
        <v>0</v>
      </c>
      <c r="R14" s="700">
        <f>'Units&amp;Income'!AL51</f>
        <v>0</v>
      </c>
      <c r="S14" s="700">
        <f>'Units&amp;Income'!AL65</f>
        <v>0</v>
      </c>
      <c r="T14" s="700">
        <f>'Units&amp;Income'!AL79</f>
        <v>0</v>
      </c>
      <c r="U14" s="701">
        <f>'Units&amp;Income'!AL93</f>
        <v>0</v>
      </c>
      <c r="V14" s="700">
        <f t="shared" si="0"/>
        <v>0</v>
      </c>
    </row>
    <row r="15" spans="1:29" ht="12.75">
      <c r="A15" s="399" t="s">
        <v>941</v>
      </c>
      <c r="E15" s="2037">
        <f>'LIHTCs&amp;BLDGs'!B76</f>
        <v>0.8</v>
      </c>
      <c r="F15" s="2037"/>
      <c r="K15" s="407"/>
      <c r="L15" s="400"/>
      <c r="N15" s="14" t="s">
        <v>186</v>
      </c>
      <c r="O15" s="21"/>
      <c r="P15" s="896">
        <f>'Units&amp;Income'!AS23</f>
        <v>0</v>
      </c>
      <c r="Q15" s="896">
        <f>'Units&amp;Income'!AS37</f>
        <v>0</v>
      </c>
      <c r="R15" s="896">
        <f>'Units&amp;Income'!AS51</f>
        <v>0</v>
      </c>
      <c r="S15" s="896">
        <f>'Units&amp;Income'!AS65</f>
        <v>0</v>
      </c>
      <c r="T15" s="896">
        <f>'Units&amp;Income'!AS79</f>
        <v>0</v>
      </c>
      <c r="U15" s="701">
        <f>'Units&amp;Income'!AS93</f>
        <v>0</v>
      </c>
      <c r="V15" s="896">
        <f t="shared" si="0"/>
        <v>0</v>
      </c>
    </row>
    <row r="16" spans="1:29" ht="12.75">
      <c r="A16" s="399" t="s">
        <v>942</v>
      </c>
      <c r="E16" s="2033" t="str">
        <f>Setup!K12</f>
        <v>Placement in Service of Building</v>
      </c>
      <c r="F16" s="2033"/>
      <c r="G16" s="2033"/>
      <c r="H16" s="2033"/>
      <c r="I16" s="2033"/>
      <c r="J16" s="2033"/>
      <c r="K16" s="407"/>
      <c r="L16" s="400"/>
      <c r="N16" s="408" t="s">
        <v>943</v>
      </c>
      <c r="O16" s="403"/>
      <c r="P16" s="702">
        <f>'Units&amp;Income'!F23</f>
        <v>0</v>
      </c>
      <c r="Q16" s="702">
        <f>'Units&amp;Income'!F37</f>
        <v>0</v>
      </c>
      <c r="R16" s="702">
        <f>'Units&amp;Income'!F51</f>
        <v>0</v>
      </c>
      <c r="S16" s="702">
        <f>'Units&amp;Income'!F65</f>
        <v>0</v>
      </c>
      <c r="T16" s="702">
        <f>'Units&amp;Income'!F79</f>
        <v>0</v>
      </c>
      <c r="U16" s="965">
        <f>'Units&amp;Income'!F93</f>
        <v>0</v>
      </c>
      <c r="V16" s="702">
        <f t="shared" si="0"/>
        <v>0</v>
      </c>
    </row>
    <row r="17" spans="1:24" ht="12.75">
      <c r="E17" s="1805" t="s">
        <v>944</v>
      </c>
      <c r="F17" s="1092" t="e">
        <f>SUM(V10:V14)/V17</f>
        <v>#DIV/0!</v>
      </c>
      <c r="G17" s="1806"/>
      <c r="H17" s="1806"/>
      <c r="I17" s="1806"/>
      <c r="J17" s="1806"/>
      <c r="K17" s="407"/>
      <c r="L17" s="400"/>
      <c r="N17" s="399" t="s">
        <v>421</v>
      </c>
      <c r="P17" s="700">
        <f t="shared" ref="P17:U17" si="1">SUM(P10:P16)</f>
        <v>0</v>
      </c>
      <c r="Q17" s="700">
        <f t="shared" si="1"/>
        <v>0</v>
      </c>
      <c r="R17" s="700">
        <f t="shared" si="1"/>
        <v>0</v>
      </c>
      <c r="S17" s="700">
        <f t="shared" si="1"/>
        <v>0</v>
      </c>
      <c r="T17" s="700">
        <f t="shared" si="1"/>
        <v>0</v>
      </c>
      <c r="U17" s="701">
        <f t="shared" si="1"/>
        <v>0</v>
      </c>
      <c r="V17" s="703">
        <f t="shared" si="0"/>
        <v>0</v>
      </c>
    </row>
    <row r="18" spans="1:24" ht="12.75">
      <c r="E18" s="1805" t="s">
        <v>945</v>
      </c>
      <c r="F18" s="1092">
        <f>IF(Setup!$R$21="No",0,SUM(V10*N10,V11*N11,V12*N12,V13*N13,V14*N14)/SUM(V10:V14))</f>
        <v>0</v>
      </c>
      <c r="G18" s="1806"/>
      <c r="H18" s="1806"/>
      <c r="I18" s="1806"/>
      <c r="J18" s="1806"/>
      <c r="K18" s="407"/>
      <c r="L18" s="400"/>
      <c r="P18" s="700"/>
      <c r="Q18" s="700"/>
      <c r="R18" s="700"/>
      <c r="S18" s="700"/>
      <c r="T18" s="700"/>
      <c r="U18" s="896"/>
      <c r="V18" s="703"/>
    </row>
    <row r="19" spans="1:24" ht="12.75">
      <c r="F19" s="1092"/>
      <c r="G19" s="1806"/>
      <c r="H19" s="1806"/>
      <c r="I19" s="1806"/>
      <c r="J19" s="1806"/>
      <c r="K19" s="407"/>
      <c r="L19" s="400"/>
      <c r="P19" s="700"/>
      <c r="Q19" s="700"/>
      <c r="R19" s="700"/>
      <c r="S19" s="700"/>
      <c r="T19" s="700"/>
      <c r="U19" s="896"/>
      <c r="V19" s="703"/>
    </row>
    <row r="20" spans="1:24">
      <c r="A20" s="398" t="s">
        <v>946</v>
      </c>
      <c r="V20" s="402"/>
      <c r="X20" s="399" t="s">
        <v>180</v>
      </c>
    </row>
    <row r="21" spans="1:24" ht="15.75" customHeight="1">
      <c r="A21" s="409" t="s">
        <v>947</v>
      </c>
      <c r="E21" s="2018" t="s">
        <v>273</v>
      </c>
      <c r="F21" s="2018"/>
      <c r="G21" s="2018" t="s">
        <v>276</v>
      </c>
      <c r="H21" s="2018"/>
      <c r="I21" s="2018" t="s">
        <v>948</v>
      </c>
      <c r="J21" s="2018"/>
      <c r="L21" s="398" t="s">
        <v>949</v>
      </c>
      <c r="O21" s="1808"/>
      <c r="P21" s="1805" t="s">
        <v>950</v>
      </c>
      <c r="Q21" s="2036" t="s">
        <v>951</v>
      </c>
      <c r="R21" s="2036"/>
      <c r="S21" s="2036" t="s">
        <v>952</v>
      </c>
      <c r="T21" s="2036"/>
      <c r="U21" s="2005" t="s">
        <v>953</v>
      </c>
      <c r="V21" s="2005"/>
    </row>
    <row r="22" spans="1:24">
      <c r="A22" s="399" t="s">
        <v>849</v>
      </c>
      <c r="B22" s="409"/>
      <c r="C22" s="409"/>
      <c r="D22" s="409"/>
      <c r="E22" s="2015">
        <f>DevCosts!D12</f>
        <v>0</v>
      </c>
      <c r="F22" s="2015"/>
      <c r="G22" s="2015" t="str">
        <f t="shared" ref="G22:G36" si="2">IF($V$17=0,"",E22/$V$17)</f>
        <v/>
      </c>
      <c r="H22" s="2015"/>
      <c r="I22" s="2024">
        <f>IF($N$3=0,"",E22/$N$3)</f>
        <v>0</v>
      </c>
      <c r="J22" s="2024"/>
      <c r="L22" s="399" t="s">
        <v>236</v>
      </c>
      <c r="P22" s="645">
        <f>P17</f>
        <v>0</v>
      </c>
      <c r="Q22" s="2015">
        <f t="shared" ref="Q22:Q27" si="3">IF(P22=0,0,S22/P22)</f>
        <v>0</v>
      </c>
      <c r="R22" s="2015"/>
      <c r="S22" s="2015">
        <f>'Units&amp;Income'!AW23</f>
        <v>0</v>
      </c>
      <c r="T22" s="2015"/>
      <c r="U22" s="2015">
        <f t="shared" ref="U22:U27" si="4">S22*12</f>
        <v>0</v>
      </c>
      <c r="V22" s="2015"/>
    </row>
    <row r="23" spans="1:24">
      <c r="A23" s="399" t="s">
        <v>332</v>
      </c>
      <c r="E23" s="2015">
        <f>DevCosts!D19</f>
        <v>0</v>
      </c>
      <c r="F23" s="2015"/>
      <c r="G23" s="2015" t="str">
        <f t="shared" si="2"/>
        <v/>
      </c>
      <c r="H23" s="2015"/>
      <c r="I23" s="2024">
        <f>IF($N$3=0,"",E23/$N$3)</f>
        <v>0</v>
      </c>
      <c r="J23" s="2024"/>
      <c r="L23" s="399" t="s">
        <v>237</v>
      </c>
      <c r="P23" s="645">
        <f>Q17</f>
        <v>0</v>
      </c>
      <c r="Q23" s="2015">
        <f t="shared" si="3"/>
        <v>0</v>
      </c>
      <c r="R23" s="2015"/>
      <c r="S23" s="2015">
        <f>'Units&amp;Income'!AW37</f>
        <v>0</v>
      </c>
      <c r="T23" s="2015"/>
      <c r="U23" s="2015">
        <f t="shared" si="4"/>
        <v>0</v>
      </c>
      <c r="V23" s="2015"/>
    </row>
    <row r="24" spans="1:24">
      <c r="A24" s="399" t="s">
        <v>954</v>
      </c>
      <c r="E24" s="2015">
        <f>DevCosts!D31</f>
        <v>0</v>
      </c>
      <c r="F24" s="2015"/>
      <c r="G24" s="2015" t="str">
        <f t="shared" si="2"/>
        <v/>
      </c>
      <c r="H24" s="2015"/>
      <c r="I24" s="2024">
        <f>IF($N$3=0,"",E24/$N$3)</f>
        <v>0</v>
      </c>
      <c r="J24" s="2024"/>
      <c r="L24" s="399" t="s">
        <v>238</v>
      </c>
      <c r="P24" s="645">
        <f>R17</f>
        <v>0</v>
      </c>
      <c r="Q24" s="2015">
        <f t="shared" si="3"/>
        <v>0</v>
      </c>
      <c r="R24" s="2015"/>
      <c r="S24" s="2015">
        <f>'Units&amp;Income'!AW51</f>
        <v>0</v>
      </c>
      <c r="T24" s="2015"/>
      <c r="U24" s="2015">
        <f t="shared" si="4"/>
        <v>0</v>
      </c>
      <c r="V24" s="2015"/>
    </row>
    <row r="25" spans="1:24">
      <c r="A25" s="399" t="s">
        <v>955</v>
      </c>
      <c r="E25" s="2015">
        <f>DevCosts!D39</f>
        <v>0</v>
      </c>
      <c r="F25" s="2015"/>
      <c r="G25" s="2015" t="str">
        <f t="shared" si="2"/>
        <v/>
      </c>
      <c r="H25" s="2015"/>
      <c r="I25" s="2024">
        <f t="shared" ref="I25:I35" si="5">IF($N$3=0,"",E25/$N$3)</f>
        <v>0</v>
      </c>
      <c r="J25" s="2024"/>
      <c r="L25" s="399" t="s">
        <v>239</v>
      </c>
      <c r="P25" s="645">
        <f>S17</f>
        <v>0</v>
      </c>
      <c r="Q25" s="2015">
        <f t="shared" si="3"/>
        <v>0</v>
      </c>
      <c r="R25" s="2015"/>
      <c r="S25" s="2015">
        <f>'Units&amp;Income'!AW65</f>
        <v>0</v>
      </c>
      <c r="T25" s="2015"/>
      <c r="U25" s="2015">
        <f t="shared" si="4"/>
        <v>0</v>
      </c>
      <c r="V25" s="2015"/>
    </row>
    <row r="26" spans="1:24">
      <c r="A26" s="399" t="s">
        <v>956</v>
      </c>
      <c r="E26" s="2015">
        <f>DevCosts!D47</f>
        <v>0</v>
      </c>
      <c r="F26" s="2015"/>
      <c r="G26" s="2015" t="str">
        <f t="shared" si="2"/>
        <v/>
      </c>
      <c r="H26" s="2015"/>
      <c r="I26" s="2024">
        <f t="shared" si="5"/>
        <v>0</v>
      </c>
      <c r="J26" s="2024"/>
      <c r="L26" s="399" t="s">
        <v>240</v>
      </c>
      <c r="P26" s="645">
        <f>T17</f>
        <v>0</v>
      </c>
      <c r="Q26" s="2015">
        <f t="shared" si="3"/>
        <v>0</v>
      </c>
      <c r="R26" s="2015"/>
      <c r="S26" s="2015">
        <f>'Units&amp;Income'!AW79</f>
        <v>0</v>
      </c>
      <c r="T26" s="2015"/>
      <c r="U26" s="2015">
        <f t="shared" si="4"/>
        <v>0</v>
      </c>
      <c r="V26" s="2015"/>
    </row>
    <row r="27" spans="1:24">
      <c r="A27" s="399" t="s">
        <v>151</v>
      </c>
      <c r="E27" s="2015">
        <f>DevCosts!D58</f>
        <v>0</v>
      </c>
      <c r="F27" s="2015"/>
      <c r="G27" s="2015" t="str">
        <f t="shared" si="2"/>
        <v/>
      </c>
      <c r="H27" s="2015"/>
      <c r="I27" s="2024">
        <f t="shared" si="5"/>
        <v>0</v>
      </c>
      <c r="J27" s="2024"/>
      <c r="L27" s="403" t="s">
        <v>241</v>
      </c>
      <c r="M27" s="403"/>
      <c r="N27" s="403"/>
      <c r="O27" s="403"/>
      <c r="P27" s="704">
        <f>U17</f>
        <v>0</v>
      </c>
      <c r="Q27" s="2022">
        <f t="shared" si="3"/>
        <v>0</v>
      </c>
      <c r="R27" s="2022"/>
      <c r="S27" s="2022">
        <f>'Units&amp;Income'!AW93</f>
        <v>0</v>
      </c>
      <c r="T27" s="2022"/>
      <c r="U27" s="2022">
        <f t="shared" si="4"/>
        <v>0</v>
      </c>
      <c r="V27" s="2022"/>
    </row>
    <row r="28" spans="1:24" ht="12.75" customHeight="1">
      <c r="A28" s="399" t="s">
        <v>957</v>
      </c>
      <c r="E28" s="2015">
        <f>DevCosts!D80</f>
        <v>0</v>
      </c>
      <c r="F28" s="2015"/>
      <c r="G28" s="2015" t="str">
        <f t="shared" si="2"/>
        <v/>
      </c>
      <c r="H28" s="2015"/>
      <c r="I28" s="2024">
        <f t="shared" si="5"/>
        <v>0</v>
      </c>
      <c r="J28" s="2024"/>
      <c r="L28" s="410" t="s">
        <v>958</v>
      </c>
      <c r="M28" s="409"/>
      <c r="N28" s="409"/>
      <c r="O28" s="409"/>
      <c r="P28" s="705">
        <f>SUM(P22:P27)</f>
        <v>0</v>
      </c>
      <c r="Q28" s="2032" t="str">
        <f>IF(P28=0,"",S28/P28)</f>
        <v/>
      </c>
      <c r="R28" s="2032"/>
      <c r="S28" s="2016">
        <f>SUM(S22:T27)</f>
        <v>0</v>
      </c>
      <c r="T28" s="2016"/>
      <c r="U28" s="2016">
        <f>SUM(U22:V27)</f>
        <v>0</v>
      </c>
      <c r="V28" s="2016"/>
    </row>
    <row r="29" spans="1:24">
      <c r="A29" s="399" t="s">
        <v>959</v>
      </c>
      <c r="E29" s="2015">
        <f ca="1">DevCosts!D97</f>
        <v>0</v>
      </c>
      <c r="F29" s="2015"/>
      <c r="G29" s="2015" t="str">
        <f t="shared" si="2"/>
        <v/>
      </c>
      <c r="H29" s="2015"/>
      <c r="I29" s="2024">
        <f t="shared" ca="1" si="5"/>
        <v>0</v>
      </c>
      <c r="J29" s="2024"/>
    </row>
    <row r="30" spans="1:24" ht="12.75" thickBot="1">
      <c r="A30" s="399" t="s">
        <v>960</v>
      </c>
      <c r="E30" s="2015">
        <f>DevCosts!D103</f>
        <v>0</v>
      </c>
      <c r="F30" s="2015"/>
      <c r="G30" s="2015" t="str">
        <f t="shared" si="2"/>
        <v/>
      </c>
      <c r="H30" s="2015"/>
      <c r="I30" s="2024">
        <f t="shared" si="5"/>
        <v>0</v>
      </c>
      <c r="J30" s="2024"/>
      <c r="L30" s="411" t="s">
        <v>961</v>
      </c>
      <c r="M30" s="411"/>
      <c r="N30" s="411"/>
      <c r="O30" s="411"/>
      <c r="P30" s="411"/>
      <c r="Q30" s="411"/>
      <c r="R30" s="412"/>
      <c r="S30" s="2028">
        <f>U30/12</f>
        <v>0</v>
      </c>
      <c r="T30" s="2029"/>
      <c r="U30" s="2030">
        <f>'Units&amp;Income'!AW95*12</f>
        <v>0</v>
      </c>
      <c r="V30" s="2030"/>
    </row>
    <row r="31" spans="1:24">
      <c r="A31" s="399" t="s">
        <v>962</v>
      </c>
      <c r="E31" s="2015">
        <f>DevCosts!D108</f>
        <v>0</v>
      </c>
      <c r="F31" s="2015"/>
      <c r="G31" s="2015" t="str">
        <f t="shared" si="2"/>
        <v/>
      </c>
      <c r="H31" s="2015"/>
      <c r="I31" s="2024">
        <f>IF($N$3=0,"",E31/$N$3)</f>
        <v>0</v>
      </c>
      <c r="J31" s="2024"/>
      <c r="L31" s="410" t="s">
        <v>963</v>
      </c>
      <c r="M31" s="409"/>
      <c r="N31" s="409"/>
      <c r="O31" s="409"/>
      <c r="P31" s="409"/>
      <c r="Q31" s="409"/>
      <c r="R31" s="1798"/>
      <c r="S31" s="2031">
        <f>SUM(S28:T30)</f>
        <v>0</v>
      </c>
      <c r="T31" s="2031"/>
      <c r="U31" s="2031">
        <f>SUM(U28:V30)</f>
        <v>0</v>
      </c>
      <c r="V31" s="2031"/>
    </row>
    <row r="32" spans="1:24">
      <c r="A32" s="399" t="s">
        <v>964</v>
      </c>
      <c r="E32" s="2015">
        <f>DevCosts!D113</f>
        <v>0</v>
      </c>
      <c r="F32" s="2015"/>
      <c r="G32" s="2015" t="str">
        <f t="shared" si="2"/>
        <v/>
      </c>
      <c r="H32" s="2015"/>
      <c r="I32" s="2024">
        <f t="shared" si="5"/>
        <v>0</v>
      </c>
      <c r="J32" s="2024"/>
      <c r="L32" s="21" t="s">
        <v>965</v>
      </c>
      <c r="R32" s="1805"/>
      <c r="S32" s="2026">
        <f>U32/12</f>
        <v>0</v>
      </c>
      <c r="T32" s="2027"/>
      <c r="U32" s="2015">
        <f>'Units&amp;Income'!G113</f>
        <v>0</v>
      </c>
      <c r="V32" s="2015"/>
    </row>
    <row r="33" spans="1:24">
      <c r="A33" s="399" t="s">
        <v>409</v>
      </c>
      <c r="E33" s="2015">
        <f>DevCosts!D132</f>
        <v>0</v>
      </c>
      <c r="F33" s="2015"/>
      <c r="G33" s="2015" t="str">
        <f t="shared" si="2"/>
        <v/>
      </c>
      <c r="H33" s="2015"/>
      <c r="I33" s="2024">
        <f t="shared" si="5"/>
        <v>0</v>
      </c>
      <c r="J33" s="2024"/>
      <c r="L33" s="403" t="s">
        <v>966</v>
      </c>
      <c r="M33" s="403"/>
      <c r="N33" s="403"/>
      <c r="O33" s="403"/>
      <c r="P33" s="403"/>
      <c r="Q33" s="403"/>
      <c r="R33" s="1803"/>
      <c r="S33" s="2025">
        <f>U33/12</f>
        <v>0</v>
      </c>
      <c r="T33" s="2020"/>
      <c r="U33" s="2022">
        <f>'Units&amp;Income'!G128</f>
        <v>0</v>
      </c>
      <c r="V33" s="2022"/>
      <c r="W33" s="409"/>
      <c r="X33" s="409"/>
    </row>
    <row r="34" spans="1:24">
      <c r="A34" s="399" t="s">
        <v>967</v>
      </c>
      <c r="E34" s="2015">
        <f ca="1">DevCosts!D119</f>
        <v>0</v>
      </c>
      <c r="F34" s="2015"/>
      <c r="G34" s="2015" t="str">
        <f t="shared" si="2"/>
        <v/>
      </c>
      <c r="H34" s="2015"/>
      <c r="I34" s="2024">
        <f t="shared" ca="1" si="5"/>
        <v>0</v>
      </c>
      <c r="J34" s="2024"/>
      <c r="L34" s="410" t="s">
        <v>968</v>
      </c>
      <c r="M34" s="409"/>
      <c r="N34" s="409"/>
      <c r="O34" s="409"/>
      <c r="P34" s="409"/>
      <c r="Q34" s="409"/>
      <c r="R34" s="1798"/>
      <c r="S34" s="2021">
        <f>SUM(S31:T33)</f>
        <v>0</v>
      </c>
      <c r="T34" s="2021"/>
      <c r="U34" s="2021">
        <f>SUM(U31:V33)</f>
        <v>0</v>
      </c>
      <c r="V34" s="2021"/>
    </row>
    <row r="35" spans="1:24">
      <c r="A35" s="403" t="s">
        <v>334</v>
      </c>
      <c r="B35" s="403"/>
      <c r="C35" s="403"/>
      <c r="D35" s="403"/>
      <c r="E35" s="2022">
        <f>DevCosts!D127</f>
        <v>0</v>
      </c>
      <c r="F35" s="2022"/>
      <c r="G35" s="2022" t="str">
        <f t="shared" si="2"/>
        <v/>
      </c>
      <c r="H35" s="2022"/>
      <c r="I35" s="2023">
        <f t="shared" si="5"/>
        <v>0</v>
      </c>
      <c r="J35" s="2023"/>
    </row>
    <row r="36" spans="1:24">
      <c r="A36" s="409" t="s">
        <v>969</v>
      </c>
      <c r="B36" s="409"/>
      <c r="C36" s="409"/>
      <c r="D36" s="409"/>
      <c r="E36" s="2015">
        <f ca="1">SUM(E22:F35)</f>
        <v>0</v>
      </c>
      <c r="F36" s="2015"/>
      <c r="G36" s="2015" t="str">
        <f t="shared" si="2"/>
        <v/>
      </c>
      <c r="H36" s="2015"/>
      <c r="I36" s="2024">
        <f ca="1">E36/N3</f>
        <v>0</v>
      </c>
      <c r="J36" s="2024"/>
      <c r="L36" s="403"/>
      <c r="M36" s="403"/>
      <c r="N36" s="403"/>
      <c r="O36" s="403"/>
      <c r="P36" s="403"/>
      <c r="Q36" s="403"/>
      <c r="R36" s="1803" t="s">
        <v>970</v>
      </c>
      <c r="S36" s="2020" t="s">
        <v>971</v>
      </c>
      <c r="T36" s="2020"/>
      <c r="U36" s="2020" t="s">
        <v>972</v>
      </c>
      <c r="V36" s="2020"/>
    </row>
    <row r="37" spans="1:24" ht="12.75" customHeight="1">
      <c r="A37" s="413" t="s">
        <v>973</v>
      </c>
      <c r="B37" s="403"/>
      <c r="C37" s="403"/>
      <c r="D37" s="403"/>
      <c r="E37" s="2018" t="s">
        <v>849</v>
      </c>
      <c r="F37" s="2018"/>
      <c r="G37" s="2018" t="s">
        <v>974</v>
      </c>
      <c r="H37" s="2018"/>
      <c r="I37" s="2018" t="s">
        <v>975</v>
      </c>
      <c r="J37" s="2018"/>
      <c r="L37" s="399" t="s">
        <v>976</v>
      </c>
      <c r="Q37" s="2019" t="str">
        <f>IF($V$17=0,"",U37/$V$17)</f>
        <v/>
      </c>
      <c r="R37" s="2019"/>
      <c r="S37" s="2019" t="str">
        <f>IF(U37=0,"",U37/12)</f>
        <v/>
      </c>
      <c r="T37" s="2019"/>
      <c r="U37" s="2019">
        <f>Op_Costs!G62</f>
        <v>0</v>
      </c>
      <c r="V37" s="2019"/>
    </row>
    <row r="38" spans="1:24">
      <c r="A38" s="399" t="s">
        <v>977</v>
      </c>
      <c r="E38" s="2015">
        <f>DevCosts!I12-DevCosts!L12</f>
        <v>0</v>
      </c>
      <c r="F38" s="2015"/>
      <c r="G38" s="2015">
        <f ca="1">DevCosts!I133-DevCosts!I12-(DevCosts!L133-DevCosts!L12)</f>
        <v>0</v>
      </c>
      <c r="H38" s="2015"/>
      <c r="I38" s="2015">
        <f ca="1">DevCosts!I133-DevCosts!I12-DevCosts!M133+DevCosts!M12</f>
        <v>0</v>
      </c>
      <c r="J38" s="2015"/>
      <c r="L38" s="399" t="s">
        <v>621</v>
      </c>
      <c r="Q38" s="2010" t="str">
        <f>IF($V$17=0,"",U38/$V$17)</f>
        <v/>
      </c>
      <c r="R38" s="2010"/>
      <c r="S38" s="2010" t="str">
        <f>IF(U38=0,"",U38/12)</f>
        <v/>
      </c>
      <c r="T38" s="2010"/>
      <c r="U38" s="2011">
        <f>U34-U37</f>
        <v>0</v>
      </c>
      <c r="V38" s="2011"/>
    </row>
    <row r="39" spans="1:24">
      <c r="A39" s="399" t="s">
        <v>978</v>
      </c>
      <c r="E39" s="2015">
        <f>DevCosts!J12</f>
        <v>0</v>
      </c>
      <c r="F39" s="2015"/>
      <c r="G39" s="2015">
        <f ca="1">DevCosts!J133-DevCosts!J12</f>
        <v>0</v>
      </c>
      <c r="H39" s="2015"/>
      <c r="I39" s="2015">
        <v>0</v>
      </c>
      <c r="J39" s="2015"/>
      <c r="L39" s="399" t="s">
        <v>979</v>
      </c>
      <c r="Q39" s="2010" t="str">
        <f>IF($V$17=0,"",U39/$V$17)</f>
        <v/>
      </c>
      <c r="R39" s="2010"/>
      <c r="S39" s="2011">
        <f>U39/12</f>
        <v>0</v>
      </c>
      <c r="T39" s="2011"/>
      <c r="U39" s="2011">
        <f>U54</f>
        <v>0</v>
      </c>
      <c r="V39" s="2011"/>
    </row>
    <row r="40" spans="1:24">
      <c r="A40" s="403" t="s">
        <v>280</v>
      </c>
      <c r="B40" s="403"/>
      <c r="C40" s="403"/>
      <c r="D40" s="403"/>
      <c r="E40" s="2015">
        <f>DevCosts!K12</f>
        <v>0</v>
      </c>
      <c r="F40" s="2015"/>
      <c r="G40" s="2015">
        <f ca="1">DevCosts!K133-DevCosts!K12</f>
        <v>0</v>
      </c>
      <c r="H40" s="2015"/>
      <c r="I40" s="2015">
        <v>0</v>
      </c>
      <c r="J40" s="2015"/>
      <c r="L40" s="399" t="s">
        <v>980</v>
      </c>
      <c r="Q40" s="2010" t="str">
        <f>IF($V$17=0,"",U40/$V$17)</f>
        <v/>
      </c>
      <c r="R40" s="2010"/>
      <c r="S40" s="2011" t="str">
        <f>IF(S38="","",S38-S39)</f>
        <v/>
      </c>
      <c r="T40" s="2011"/>
      <c r="U40" s="2011">
        <f>U38-U39</f>
        <v>0</v>
      </c>
      <c r="V40" s="2011"/>
    </row>
    <row r="41" spans="1:24">
      <c r="A41" s="399" t="s">
        <v>981</v>
      </c>
      <c r="E41" s="2016">
        <f>SUM(E38:F40)</f>
        <v>0</v>
      </c>
      <c r="F41" s="2016"/>
      <c r="G41" s="2016">
        <f ca="1">SUM(G38:H40)</f>
        <v>0</v>
      </c>
      <c r="H41" s="2016"/>
      <c r="I41" s="2016">
        <f ca="1">SUM(I38:J40)</f>
        <v>0</v>
      </c>
      <c r="J41" s="2016"/>
      <c r="L41" s="399" t="s">
        <v>982</v>
      </c>
      <c r="R41" s="1805"/>
      <c r="S41" s="2017" t="str">
        <f>IF(S39=0,"",S38/S39)</f>
        <v/>
      </c>
      <c r="T41" s="2017"/>
      <c r="U41" s="2017" t="str">
        <f>IF(U39=0,"",U38/U39)</f>
        <v/>
      </c>
      <c r="V41" s="2017"/>
    </row>
    <row r="42" spans="1:24" ht="15.75" customHeight="1">
      <c r="O42" s="414"/>
    </row>
    <row r="43" spans="1:24" ht="12.75" customHeight="1">
      <c r="A43" s="398" t="s">
        <v>200</v>
      </c>
      <c r="H43" s="426" t="s">
        <v>983</v>
      </c>
      <c r="J43" s="1996">
        <f ca="1">J54-E36</f>
        <v>100</v>
      </c>
      <c r="K43" s="1996"/>
      <c r="L43" s="2013" t="s">
        <v>984</v>
      </c>
      <c r="M43" s="2013" t="s">
        <v>985</v>
      </c>
      <c r="N43" s="2008" t="str">
        <f>IF(Setup!D6="Refinancing DOH Deal", "Current Debt", "Total Constr. Interest")</f>
        <v>Total Constr. Interest</v>
      </c>
      <c r="O43" s="2008"/>
      <c r="P43" s="2013" t="s">
        <v>986</v>
      </c>
      <c r="R43" s="2008" t="s">
        <v>987</v>
      </c>
      <c r="U43" s="2008" t="str">
        <f>IF(Setup!D6="Refinancing DOH Deal","Proposed Debt","Payment Year 1")</f>
        <v>Payment Year 1</v>
      </c>
      <c r="V43" s="2008"/>
    </row>
    <row r="44" spans="1:24" s="401" customFormat="1" ht="16.5" customHeight="1">
      <c r="A44" s="415" t="s">
        <v>988</v>
      </c>
      <c r="B44" s="415"/>
      <c r="C44" s="415"/>
      <c r="D44" s="415"/>
      <c r="E44" s="415" t="s">
        <v>989</v>
      </c>
      <c r="F44" s="415"/>
      <c r="G44" s="415"/>
      <c r="H44" s="408"/>
      <c r="I44" s="415" t="s">
        <v>990</v>
      </c>
      <c r="J44" s="415" t="s">
        <v>273</v>
      </c>
      <c r="K44" s="416"/>
      <c r="L44" s="2014"/>
      <c r="M44" s="2014"/>
      <c r="N44" s="2009"/>
      <c r="O44" s="2009"/>
      <c r="P44" s="2014"/>
      <c r="Q44" s="1803" t="s">
        <v>991</v>
      </c>
      <c r="R44" s="2009"/>
      <c r="S44" s="415" t="s">
        <v>992</v>
      </c>
      <c r="T44" s="1803"/>
      <c r="U44" s="2009"/>
      <c r="V44" s="2009"/>
      <c r="W44" s="1805"/>
      <c r="X44" s="1805"/>
    </row>
    <row r="45" spans="1:24">
      <c r="A45" s="14" t="s">
        <v>993</v>
      </c>
      <c r="C45" s="14"/>
      <c r="D45" s="14"/>
      <c r="E45" s="417" t="str">
        <f>IF(LEN(Sources!C3)=0,"",Sources!C3)</f>
        <v/>
      </c>
      <c r="G45" s="14"/>
      <c r="H45" s="418"/>
      <c r="I45" s="400" t="s">
        <v>994</v>
      </c>
      <c r="J45" s="2012">
        <f>Sources!D50+Sources!D51</f>
        <v>0</v>
      </c>
      <c r="K45" s="2012"/>
      <c r="L45" s="419" t="str">
        <f>IF(J45&gt;0,Sources!F3,"")</f>
        <v/>
      </c>
      <c r="M45" s="420" t="str">
        <f>IF(J45&gt;0,Sources!H3,"")</f>
        <v/>
      </c>
      <c r="N45" s="2004">
        <f ca="1">SUM(Sources!I3:I4)</f>
        <v>0</v>
      </c>
      <c r="O45" s="2004"/>
      <c r="P45" s="1800" t="str">
        <f>IF(J45&gt;0,Sources!F3,"")</f>
        <v/>
      </c>
      <c r="Q45" s="1800" t="str">
        <f>IF(J45&gt;0,Sources!H50,"")</f>
        <v/>
      </c>
      <c r="R45" s="420" t="str">
        <f>IF(J45&gt;0,Sources!I50,"")</f>
        <v/>
      </c>
      <c r="S45" s="2006" t="s">
        <v>995</v>
      </c>
      <c r="T45" s="2006"/>
      <c r="U45" s="2004">
        <f>SUM(Sources!J50+Sources!J51)</f>
        <v>0</v>
      </c>
      <c r="V45" s="2004"/>
    </row>
    <row r="46" spans="1:24">
      <c r="A46" s="14" t="s">
        <v>996</v>
      </c>
      <c r="C46" s="14"/>
      <c r="D46" s="14"/>
      <c r="E46" s="417" t="str">
        <f>IF(LEN(Sources!C5)=0,"",Sources!C5)</f>
        <v/>
      </c>
      <c r="G46" s="14"/>
      <c r="H46" s="14"/>
      <c r="I46" s="400" t="s">
        <v>994</v>
      </c>
      <c r="J46" s="2007">
        <f>Sources!D52+Sources!D53+Sources!D54</f>
        <v>0</v>
      </c>
      <c r="K46" s="2007"/>
      <c r="L46" s="419" t="str">
        <f>IF(J46&gt;0,Sources!F5,"")</f>
        <v/>
      </c>
      <c r="M46" s="420" t="str">
        <f>IF(J46&gt;0,Sources!H5,"")</f>
        <v/>
      </c>
      <c r="N46" s="2004">
        <f ca="1">SUM(Sources!I5:I7)</f>
        <v>0</v>
      </c>
      <c r="O46" s="2004"/>
      <c r="P46" s="1800" t="str">
        <f>IF(J46&gt;0,Sources!G52,"")</f>
        <v/>
      </c>
      <c r="Q46" s="1800" t="str">
        <f>IF(J46&gt;0,Sources!H52,"")</f>
        <v/>
      </c>
      <c r="R46" s="420" t="str">
        <f>IF(J46&gt;0,Sources!I52,"")</f>
        <v/>
      </c>
      <c r="S46" s="2006" t="s">
        <v>995</v>
      </c>
      <c r="T46" s="2006"/>
      <c r="U46" s="2004">
        <f>SUM(Sources!J53+Sources!J52+Sources!J54)</f>
        <v>0</v>
      </c>
      <c r="V46" s="2004"/>
    </row>
    <row r="47" spans="1:24">
      <c r="A47" s="400" t="s">
        <v>866</v>
      </c>
      <c r="C47" s="400"/>
      <c r="D47" s="400"/>
      <c r="E47" s="400" t="s">
        <v>997</v>
      </c>
      <c r="G47" s="400"/>
      <c r="H47" s="400"/>
      <c r="I47" s="400" t="s">
        <v>994</v>
      </c>
      <c r="J47" s="2003">
        <f>DOH_Eligible!C140</f>
        <v>0</v>
      </c>
      <c r="K47" s="2003"/>
      <c r="L47" s="419"/>
      <c r="M47" s="420"/>
      <c r="N47" s="2004"/>
      <c r="O47" s="2004"/>
      <c r="P47" s="1800"/>
      <c r="Q47" s="1800"/>
      <c r="R47" s="420"/>
      <c r="S47" s="2006" t="s">
        <v>995</v>
      </c>
      <c r="T47" s="2006"/>
      <c r="U47" s="2004">
        <f>IF(Sources!C55="Chicago DOH",Sources!J55,0)+IF(Sources!C56="Chicago DOH",Sources!J55,0)+IF(Sources!C57="Chicago DOH",Sources!J57,0)</f>
        <v>0</v>
      </c>
      <c r="V47" s="2004"/>
    </row>
    <row r="48" spans="1:24">
      <c r="A48" s="400" t="s">
        <v>867</v>
      </c>
      <c r="C48" s="400"/>
      <c r="D48" s="400"/>
      <c r="E48" s="399" t="s">
        <v>998</v>
      </c>
      <c r="I48" s="400" t="s">
        <v>994</v>
      </c>
      <c r="J48" s="2003">
        <f>Sources!D55+Sources!D56+Sources!D57+Sources!D61+Sources!D58+Sources!D59-J47</f>
        <v>0</v>
      </c>
      <c r="K48" s="2003"/>
      <c r="L48" s="419"/>
      <c r="M48" s="420"/>
      <c r="N48" s="2004">
        <f ca="1">Sources!I24-SUM(Deal_Overview!N45:O46)</f>
        <v>0</v>
      </c>
      <c r="O48" s="2004"/>
      <c r="P48" s="1800"/>
      <c r="Q48" s="1800"/>
      <c r="R48" s="420"/>
      <c r="S48" s="2006" t="s">
        <v>995</v>
      </c>
      <c r="T48" s="2006"/>
      <c r="U48" s="2004">
        <f>Sources!J70-Deal_Overview!U45-Deal_Overview!U46-Deal_Overview!U47</f>
        <v>0</v>
      </c>
      <c r="V48" s="2004"/>
    </row>
    <row r="49" spans="1:22">
      <c r="A49" s="400" t="s">
        <v>647</v>
      </c>
      <c r="C49" s="400"/>
      <c r="D49" s="400"/>
      <c r="E49" s="417" t="str">
        <f>IF(LEN(Sources!C14)=0,"",Sources!C14)</f>
        <v/>
      </c>
      <c r="G49" s="400"/>
      <c r="H49" s="400"/>
      <c r="I49" s="400" t="s">
        <v>999</v>
      </c>
      <c r="J49" s="2003">
        <f>Sources!D60</f>
        <v>0</v>
      </c>
      <c r="K49" s="2003"/>
      <c r="L49" s="419"/>
      <c r="M49" s="420"/>
      <c r="N49" s="2004"/>
      <c r="O49" s="2004"/>
      <c r="P49" s="1800"/>
      <c r="Q49" s="1800"/>
      <c r="R49" s="420"/>
      <c r="S49" s="2005"/>
      <c r="T49" s="2005"/>
      <c r="U49" s="2004"/>
      <c r="V49" s="2004"/>
    </row>
    <row r="50" spans="1:22">
      <c r="A50" s="400" t="s">
        <v>868</v>
      </c>
      <c r="C50" s="400"/>
      <c r="D50" s="400"/>
      <c r="E50" s="417" t="str">
        <f>IF(LEN(Sources!C17)=0,"",Sources!C17)</f>
        <v/>
      </c>
      <c r="G50" s="400"/>
      <c r="H50" s="400"/>
      <c r="I50" s="400" t="s">
        <v>999</v>
      </c>
      <c r="J50" s="2003">
        <f>Sources!D17+Sources!D18+Sources!D19+Sources!D20+Sources!D16</f>
        <v>0</v>
      </c>
      <c r="K50" s="2003"/>
      <c r="L50" s="419"/>
      <c r="M50" s="420"/>
      <c r="N50" s="2004"/>
      <c r="O50" s="2004"/>
      <c r="P50" s="1800"/>
      <c r="Q50" s="1800"/>
      <c r="R50" s="420"/>
      <c r="S50" s="2005"/>
      <c r="T50" s="2005"/>
      <c r="U50" s="2004"/>
      <c r="V50" s="2004"/>
    </row>
    <row r="51" spans="1:22">
      <c r="A51" s="400" t="s">
        <v>869</v>
      </c>
      <c r="C51" s="400"/>
      <c r="D51" s="400"/>
      <c r="E51" s="417" t="str">
        <f>IF(LEN(Sources!C22)=0,"",Sources!C22)</f>
        <v>General Partner Name</v>
      </c>
      <c r="G51" s="400"/>
      <c r="H51" s="400"/>
      <c r="I51" s="400" t="s">
        <v>999</v>
      </c>
      <c r="J51" s="2003">
        <f>Sources!D22</f>
        <v>100</v>
      </c>
      <c r="K51" s="2003"/>
      <c r="L51" s="419"/>
      <c r="M51" s="420"/>
      <c r="N51" s="2004"/>
      <c r="O51" s="2004"/>
      <c r="P51" s="1800"/>
      <c r="Q51" s="1800"/>
      <c r="R51" s="420"/>
      <c r="S51" s="2005"/>
      <c r="T51" s="2005"/>
      <c r="U51" s="2004"/>
      <c r="V51" s="2004"/>
    </row>
    <row r="52" spans="1:22">
      <c r="A52" s="400" t="s">
        <v>870</v>
      </c>
      <c r="C52" s="400"/>
      <c r="D52" s="400"/>
      <c r="E52" s="417">
        <f>IF(LEN(Sources!C21)=0,"",Sources!C21)</f>
        <v>0</v>
      </c>
      <c r="G52" s="400"/>
      <c r="H52" s="400"/>
      <c r="I52" s="400" t="s">
        <v>999</v>
      </c>
      <c r="J52" s="2003">
        <f>Sources!D21</f>
        <v>0</v>
      </c>
      <c r="K52" s="2003"/>
      <c r="L52" s="419"/>
      <c r="M52" s="420"/>
      <c r="N52" s="2004"/>
      <c r="O52" s="2004"/>
      <c r="P52" s="1800"/>
      <c r="Q52" s="1800"/>
      <c r="R52" s="420"/>
      <c r="S52" s="2005"/>
      <c r="T52" s="2005"/>
      <c r="U52" s="2004"/>
      <c r="V52" s="2004"/>
    </row>
    <row r="53" spans="1:22" ht="12.75" thickBot="1">
      <c r="A53" s="421" t="s">
        <v>657</v>
      </c>
      <c r="B53" s="422"/>
      <c r="C53" s="421"/>
      <c r="D53" s="421"/>
      <c r="E53" s="421" t="str">
        <f>IF(LEN(Sources!C23)=0,"",Sources!C23)</f>
        <v>Syndicator/ Investor</v>
      </c>
      <c r="F53" s="422"/>
      <c r="G53" s="421"/>
      <c r="H53" s="421"/>
      <c r="I53" s="421" t="s">
        <v>999</v>
      </c>
      <c r="J53" s="2000">
        <f>IF(ISNUMBER(Setup!L25),Setup!L25,0)</f>
        <v>0</v>
      </c>
      <c r="K53" s="2000"/>
      <c r="L53" s="421"/>
      <c r="M53" s="662"/>
      <c r="N53" s="423"/>
      <c r="O53" s="423"/>
      <c r="P53" s="1799" t="s">
        <v>1000</v>
      </c>
      <c r="Q53" s="2001">
        <f>IF(Setup!L8="Yes",Setup!L16,"NA")</f>
        <v>0.8</v>
      </c>
      <c r="R53" s="2001"/>
      <c r="S53" s="2002" t="s">
        <v>1001</v>
      </c>
      <c r="T53" s="2002"/>
      <c r="U53" s="2001" t="str">
        <f>IF(Setup!L18="Yes",Setup!L23,"NA")</f>
        <v>NA</v>
      </c>
      <c r="V53" s="2001"/>
    </row>
    <row r="54" spans="1:22" s="409" customFormat="1" ht="12.75" thickTop="1">
      <c r="A54" s="1797" t="s">
        <v>1002</v>
      </c>
      <c r="B54" s="424"/>
      <c r="C54" s="424"/>
      <c r="D54" s="424"/>
      <c r="E54" s="424"/>
      <c r="F54" s="1997"/>
      <c r="G54" s="1997"/>
      <c r="H54" s="1997"/>
      <c r="I54" s="425"/>
      <c r="J54" s="1998">
        <f>SUM(J45:K53)</f>
        <v>100</v>
      </c>
      <c r="K54" s="1998"/>
      <c r="L54" s="1798"/>
      <c r="M54" s="1798"/>
      <c r="N54" s="1995">
        <f ca="1">SUM(N45:O53)</f>
        <v>0</v>
      </c>
      <c r="O54" s="1995"/>
      <c r="P54" s="1798"/>
      <c r="Q54" s="1798"/>
      <c r="R54" s="1798"/>
      <c r="S54" s="1999"/>
      <c r="T54" s="1999"/>
      <c r="U54" s="1995">
        <f>SUM(U45:V52)</f>
        <v>0</v>
      </c>
      <c r="V54" s="1995"/>
    </row>
    <row r="55" spans="1:22" s="426" customFormat="1" hidden="1"/>
  </sheetData>
  <sheetProtection algorithmName="SHA-512" hashValue="m5I58PpVlgd+fxvMan//AYWQcJzD4oP1LpO3rWhCqUgYk0vuXXtGfXE35N33ZDCOf/hKxkIAqB/4szHWGTso4g==" saltValue="g5jGarK1SkCK5jZmIuuR0w==" spinCount="100000" sheet="1" objects="1" scenarios="1"/>
  <mergeCells count="188">
    <mergeCell ref="D2:I2"/>
    <mergeCell ref="A7:B7"/>
    <mergeCell ref="G7:I7"/>
    <mergeCell ref="N7:O7"/>
    <mergeCell ref="C5:F5"/>
    <mergeCell ref="I5:J5"/>
    <mergeCell ref="N5:O5"/>
    <mergeCell ref="N2:O2"/>
    <mergeCell ref="U2:V2"/>
    <mergeCell ref="D3:I3"/>
    <mergeCell ref="N3:O3"/>
    <mergeCell ref="U3:V3"/>
    <mergeCell ref="C4:F4"/>
    <mergeCell ref="H4:J4"/>
    <mergeCell ref="N4:O4"/>
    <mergeCell ref="U4:V4"/>
    <mergeCell ref="G22:H22"/>
    <mergeCell ref="I22:J22"/>
    <mergeCell ref="Q22:R22"/>
    <mergeCell ref="S21:T21"/>
    <mergeCell ref="E14:F14"/>
    <mergeCell ref="E15:F15"/>
    <mergeCell ref="E16:J16"/>
    <mergeCell ref="C8:F8"/>
    <mergeCell ref="I8:L8"/>
    <mergeCell ref="W5:X5"/>
    <mergeCell ref="N6:O6"/>
    <mergeCell ref="U5:V5"/>
    <mergeCell ref="E13:F13"/>
    <mergeCell ref="E12:F12"/>
    <mergeCell ref="I11:K11"/>
    <mergeCell ref="U24:V24"/>
    <mergeCell ref="E23:F23"/>
    <mergeCell ref="G23:H23"/>
    <mergeCell ref="E24:F24"/>
    <mergeCell ref="G24:H24"/>
    <mergeCell ref="I24:J24"/>
    <mergeCell ref="Q24:R24"/>
    <mergeCell ref="I23:J23"/>
    <mergeCell ref="S23:T23"/>
    <mergeCell ref="U23:V23"/>
    <mergeCell ref="U21:V21"/>
    <mergeCell ref="S22:T22"/>
    <mergeCell ref="U22:V22"/>
    <mergeCell ref="E21:F21"/>
    <mergeCell ref="G21:H21"/>
    <mergeCell ref="I21:J21"/>
    <mergeCell ref="Q21:R21"/>
    <mergeCell ref="E22:F22"/>
    <mergeCell ref="S25:T25"/>
    <mergeCell ref="U25:V25"/>
    <mergeCell ref="S26:T26"/>
    <mergeCell ref="U26:V26"/>
    <mergeCell ref="Q23:R23"/>
    <mergeCell ref="E25:F25"/>
    <mergeCell ref="G25:H25"/>
    <mergeCell ref="I25:J25"/>
    <mergeCell ref="Q25:R25"/>
    <mergeCell ref="S24:T24"/>
    <mergeCell ref="U27:V27"/>
    <mergeCell ref="S27:T27"/>
    <mergeCell ref="E26:F26"/>
    <mergeCell ref="G26:H26"/>
    <mergeCell ref="I26:J26"/>
    <mergeCell ref="Q26:R26"/>
    <mergeCell ref="S28:T28"/>
    <mergeCell ref="U28:V28"/>
    <mergeCell ref="E27:F27"/>
    <mergeCell ref="G27:H27"/>
    <mergeCell ref="E28:F28"/>
    <mergeCell ref="G28:H28"/>
    <mergeCell ref="I28:J28"/>
    <mergeCell ref="Q28:R28"/>
    <mergeCell ref="I27:J27"/>
    <mergeCell ref="Q27:R27"/>
    <mergeCell ref="E29:F29"/>
    <mergeCell ref="G29:H29"/>
    <mergeCell ref="I29:J29"/>
    <mergeCell ref="E30:F30"/>
    <mergeCell ref="G30:H30"/>
    <mergeCell ref="I30:J30"/>
    <mergeCell ref="S30:T30"/>
    <mergeCell ref="U30:V30"/>
    <mergeCell ref="E31:F31"/>
    <mergeCell ref="G31:H31"/>
    <mergeCell ref="I31:J31"/>
    <mergeCell ref="S31:T31"/>
    <mergeCell ref="U31:V31"/>
    <mergeCell ref="U32:V32"/>
    <mergeCell ref="E33:F33"/>
    <mergeCell ref="G33:H33"/>
    <mergeCell ref="I33:J33"/>
    <mergeCell ref="S33:T33"/>
    <mergeCell ref="U33:V33"/>
    <mergeCell ref="E32:F32"/>
    <mergeCell ref="G32:H32"/>
    <mergeCell ref="I32:J32"/>
    <mergeCell ref="S32:T32"/>
    <mergeCell ref="U34:V34"/>
    <mergeCell ref="E35:F35"/>
    <mergeCell ref="G35:H35"/>
    <mergeCell ref="I35:J35"/>
    <mergeCell ref="E34:F34"/>
    <mergeCell ref="G34:H34"/>
    <mergeCell ref="I34:J34"/>
    <mergeCell ref="S34:T34"/>
    <mergeCell ref="E36:F36"/>
    <mergeCell ref="G36:H36"/>
    <mergeCell ref="I36:J36"/>
    <mergeCell ref="S36:T36"/>
    <mergeCell ref="E37:F37"/>
    <mergeCell ref="G37:H37"/>
    <mergeCell ref="I37:J37"/>
    <mergeCell ref="Q37:R37"/>
    <mergeCell ref="G38:H38"/>
    <mergeCell ref="I38:J38"/>
    <mergeCell ref="Q38:R38"/>
    <mergeCell ref="U36:V36"/>
    <mergeCell ref="S37:T37"/>
    <mergeCell ref="U37:V37"/>
    <mergeCell ref="S38:T38"/>
    <mergeCell ref="U38:V38"/>
    <mergeCell ref="E39:F39"/>
    <mergeCell ref="G39:H39"/>
    <mergeCell ref="I39:J39"/>
    <mergeCell ref="Q39:R39"/>
    <mergeCell ref="S39:T39"/>
    <mergeCell ref="U39:V39"/>
    <mergeCell ref="E38:F38"/>
    <mergeCell ref="E41:F41"/>
    <mergeCell ref="G41:H41"/>
    <mergeCell ref="I41:J41"/>
    <mergeCell ref="S41:T41"/>
    <mergeCell ref="U41:V41"/>
    <mergeCell ref="E40:F40"/>
    <mergeCell ref="G40:H40"/>
    <mergeCell ref="I40:J40"/>
    <mergeCell ref="R43:R44"/>
    <mergeCell ref="U43:V44"/>
    <mergeCell ref="Q40:R40"/>
    <mergeCell ref="S40:T40"/>
    <mergeCell ref="U40:V40"/>
    <mergeCell ref="J45:K45"/>
    <mergeCell ref="N45:O45"/>
    <mergeCell ref="S45:T45"/>
    <mergeCell ref="U45:V45"/>
    <mergeCell ref="L43:L44"/>
    <mergeCell ref="M43:M44"/>
    <mergeCell ref="N43:O44"/>
    <mergeCell ref="P43:P44"/>
    <mergeCell ref="J46:K46"/>
    <mergeCell ref="N46:O46"/>
    <mergeCell ref="S46:T46"/>
    <mergeCell ref="U46:V46"/>
    <mergeCell ref="S51:T51"/>
    <mergeCell ref="U51:V51"/>
    <mergeCell ref="J48:K48"/>
    <mergeCell ref="N48:O48"/>
    <mergeCell ref="S48:T48"/>
    <mergeCell ref="U48:V48"/>
    <mergeCell ref="J49:K49"/>
    <mergeCell ref="N49:O49"/>
    <mergeCell ref="S49:T49"/>
    <mergeCell ref="U49:V49"/>
    <mergeCell ref="U54:V54"/>
    <mergeCell ref="J43:K43"/>
    <mergeCell ref="F54:H54"/>
    <mergeCell ref="J54:K54"/>
    <mergeCell ref="N54:O54"/>
    <mergeCell ref="S54:T54"/>
    <mergeCell ref="J53:K53"/>
    <mergeCell ref="Q53:R53"/>
    <mergeCell ref="S53:T53"/>
    <mergeCell ref="U53:V53"/>
    <mergeCell ref="J52:K52"/>
    <mergeCell ref="N52:O52"/>
    <mergeCell ref="S52:T52"/>
    <mergeCell ref="U52:V52"/>
    <mergeCell ref="J50:K50"/>
    <mergeCell ref="N50:O50"/>
    <mergeCell ref="S50:T50"/>
    <mergeCell ref="U50:V50"/>
    <mergeCell ref="J51:K51"/>
    <mergeCell ref="N51:O51"/>
    <mergeCell ref="J47:K47"/>
    <mergeCell ref="N47:O47"/>
    <mergeCell ref="S47:T47"/>
    <mergeCell ref="U47:V47"/>
  </mergeCells>
  <phoneticPr fontId="53" type="noConversion"/>
  <dataValidations xWindow="505" yWindow="544" count="16">
    <dataValidation allowBlank="1" showInputMessage="1" showErrorMessage="1" promptTitle="Affordability" prompt="The affordability restrictions are entered on the Units &amp; Income tab." sqref="N8:V19" xr:uid="{00000000-0002-0000-0E00-000000000000}"/>
    <dataValidation type="list" allowBlank="1" sqref="J12" xr:uid="{00000000-0002-0000-0E00-000001000000}">
      <formula1>Months</formula1>
    </dataValidation>
    <dataValidation type="list" allowBlank="1" sqref="K12" xr:uid="{00000000-0002-0000-0E00-000002000000}">
      <formula1>Years</formula1>
    </dataValidation>
    <dataValidation type="list" errorStyle="information" allowBlank="1" showErrorMessage="1" errorTitle="Select from the list." error="Select an option from the list._x000a_No new options may be added." sqref="K13 J14" xr:uid="{00000000-0002-0000-0E00-000003000000}">
      <formula1>YesNo</formula1>
    </dataValidation>
    <dataValidation type="list" errorStyle="information" allowBlank="1" showErrorMessage="1" errorTitle="Select from the List" error="Select an option from the list._x000a_No new options may be added." sqref="G16:J19 E16:F16" xr:uid="{00000000-0002-0000-0E00-000004000000}">
      <formula1>RateLock</formula1>
    </dataValidation>
    <dataValidation type="list" errorStyle="information" allowBlank="1" showInputMessage="1" showErrorMessage="1" errorTitle="Select from list" error="Select an item from the list._x000a_No new items may be added." sqref="L10 I11:K11" xr:uid="{00000000-0002-0000-0E00-000005000000}">
      <formula1>Issuers</formula1>
    </dataValidation>
    <dataValidation type="whole" errorStyle="information" allowBlank="1" showInputMessage="1" showErrorMessage="1" errorTitle="Valid Data" error="A whole number between 0 and 1,000,000 can be entered here. " sqref="N2:O6" xr:uid="{00000000-0002-0000-0E00-000006000000}">
      <formula1>0</formula1>
      <formula2>1000000</formula2>
    </dataValidation>
    <dataValidation errorStyle="information" allowBlank="1" showErrorMessage="1" errorTitle="Select from the List" error="Choose an item from the list._x000a_No new items may be added." sqref="Z1:AC1" xr:uid="{00000000-0002-0000-0E00-000007000000}"/>
    <dataValidation type="list" errorStyle="information" allowBlank="1" showErrorMessage="1" errorTitle="Invalid Entry" error="Select a Community Area from the list._x000a_No new community areas may be added." sqref="G7:I7" xr:uid="{00000000-0002-0000-0E00-000008000000}">
      <formula1>CommAreas</formula1>
    </dataValidation>
    <dataValidation type="whole" errorStyle="warning" allowBlank="1" errorTitle="Invalid Date" error="Both days and months must have 2 digits to be valid. Also, you must include a / mark after the month and days." promptTitle="Date" prompt="Enter a date in the following format: 01/08/03" sqref="U7" xr:uid="{00000000-0002-0000-0E00-000009000000}">
      <formula1>1</formula1>
      <formula2>20</formula2>
    </dataValidation>
    <dataValidation errorStyle="warning" allowBlank="1" errorTitle="Invalid Date" error="Both days and months must have 2 digits to be valid. Also, you must include a / mark after the month and days." promptTitle="Date" prompt="Enter a date in the following format: 01/08/03" sqref="V7 U5:V5" xr:uid="{00000000-0002-0000-0E00-00000A000000}"/>
    <dataValidation allowBlank="1" showInputMessage="1" showErrorMessage="1" promptTitle="Residential Units" prompt="All data for residential units can be entered on the Units&amp;Income tab." sqref="L21:V28 L30:R34 S30:V31 S34:V34" xr:uid="{00000000-0002-0000-0E00-00000B000000}"/>
    <dataValidation allowBlank="1" showInputMessage="1" showErrorMessage="1" promptTitle="Operating Expenses" prompt="All operating costs must be entered on the Op_Costs tab." sqref="L37:V37" xr:uid="{00000000-0002-0000-0E00-00000C000000}"/>
    <dataValidation type="date" errorStyle="warning" allowBlank="1" showErrorMessage="1" errorTitle="Invalid Date" error="Both days and months must have 2 digits to be valid. Also, you must include a / mark after the month and days." promptTitle="Date" prompt="Enter a date in the following format: 01/08/03" sqref="U2:V4" xr:uid="{00000000-0002-0000-0E00-00000D000000}">
      <formula1>32874</formula1>
      <formula2>47848</formula2>
    </dataValidation>
    <dataValidation allowBlank="1" showErrorMessage="1" promptTitle="Residential Units" prompt="All data for residential units can be entered on the Units&amp;Income tab." sqref="S32:V33" xr:uid="{00000000-0002-0000-0E00-00000E000000}"/>
    <dataValidation errorStyle="warning" allowBlank="1" showErrorMessage="1" errorTitle="Invalid Date" error="Both days and months must have 2 digits to be valid. Also, you must include a / mark after the month and days." promptTitle="Date" prompt="Enter a date in the following format: 01/08/03" sqref="U6:V6" xr:uid="{00000000-0002-0000-0E00-00000F000000}"/>
  </dataValidations>
  <printOptions horizontalCentered="1"/>
  <pageMargins left="0.56999999999999995" right="0.66" top="0.42" bottom="0.16" header="0.17" footer="0.16"/>
  <pageSetup scale="86" orientation="landscape" horizontalDpi="1200" verticalDpi="1200" r:id="rId1"/>
  <headerFooter alignWithMargins="0">
    <oddHeader>&amp;C&amp;"Arial,Bold"&amp;12Deal Overview</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FEA37-90A4-4EA0-A372-4DA79F6E64A1}">
  <dimension ref="B1:AC56"/>
  <sheetViews>
    <sheetView showGridLines="0" workbookViewId="0">
      <selection activeCell="O28" sqref="O28"/>
    </sheetView>
  </sheetViews>
  <sheetFormatPr defaultColWidth="8.85546875" defaultRowHeight="12.75"/>
  <cols>
    <col min="1" max="1" width="4" customWidth="1"/>
    <col min="5" max="5" width="2.28515625" customWidth="1"/>
    <col min="6" max="6" width="13.85546875" bestFit="1" customWidth="1"/>
    <col min="7" max="7" width="10.28515625" customWidth="1"/>
    <col min="8" max="8" width="6.140625" customWidth="1"/>
    <col min="9" max="9" width="31.42578125" customWidth="1"/>
    <col min="10" max="10" width="16.140625" customWidth="1"/>
    <col min="11" max="11" width="14" customWidth="1"/>
    <col min="12" max="12" width="16.42578125" customWidth="1"/>
    <col min="13" max="13" width="6.140625" customWidth="1"/>
    <col min="17" max="17" width="15" bestFit="1" customWidth="1"/>
    <col min="18" max="18" width="6.140625" customWidth="1"/>
    <col min="19" max="19" width="14.42578125" customWidth="1"/>
    <col min="20" max="21" width="6.140625" customWidth="1"/>
    <col min="22" max="22" width="11.28515625" bestFit="1" customWidth="1"/>
    <col min="23" max="23" width="6.140625" customWidth="1"/>
    <col min="27" max="27" width="7.140625" customWidth="1"/>
    <col min="28" max="29" width="16" customWidth="1"/>
  </cols>
  <sheetData>
    <row r="1" spans="2:29" ht="13.5" thickBot="1"/>
    <row r="2" spans="2:29" ht="13.5" thickBot="1">
      <c r="B2" s="2045" t="s">
        <v>1027</v>
      </c>
      <c r="C2" s="2046"/>
      <c r="D2" s="2046"/>
      <c r="E2" s="2046"/>
      <c r="F2" s="2046"/>
      <c r="G2" s="2047"/>
      <c r="I2" s="2045" t="s">
        <v>1028</v>
      </c>
      <c r="J2" s="2046"/>
      <c r="K2" s="2046"/>
      <c r="L2" s="2047"/>
      <c r="N2" s="1972" t="s">
        <v>1029</v>
      </c>
      <c r="O2" s="1973"/>
      <c r="P2" s="1973"/>
      <c r="Q2" s="1973"/>
      <c r="R2" s="1973"/>
      <c r="S2" s="1973"/>
      <c r="T2" s="1973"/>
      <c r="U2" s="1973"/>
      <c r="V2" s="2048"/>
      <c r="X2" s="2045" t="s">
        <v>1030</v>
      </c>
      <c r="Y2" s="2046"/>
      <c r="Z2" s="2046"/>
      <c r="AA2" s="2046"/>
      <c r="AB2" s="2046"/>
      <c r="AC2" s="2047"/>
    </row>
    <row r="3" spans="2:29" ht="13.5" thickBot="1">
      <c r="I3" s="1543"/>
      <c r="J3" s="1543"/>
      <c r="K3" s="1543"/>
      <c r="L3" s="1543"/>
      <c r="N3" s="2049" t="s">
        <v>1031</v>
      </c>
      <c r="O3" s="2050"/>
      <c r="P3" s="2050"/>
      <c r="Q3" s="2050"/>
      <c r="R3" s="2050"/>
      <c r="S3" s="2050"/>
      <c r="T3" s="2050"/>
      <c r="U3" s="2050"/>
      <c r="V3" s="2051"/>
    </row>
    <row r="4" spans="2:29" ht="15">
      <c r="B4" s="1718" t="s">
        <v>1032</v>
      </c>
      <c r="F4" s="1719" t="s">
        <v>273</v>
      </c>
      <c r="G4" s="1719" t="s">
        <v>1033</v>
      </c>
      <c r="I4" s="1766" t="s">
        <v>1034</v>
      </c>
      <c r="J4" s="1543"/>
      <c r="K4" s="1543"/>
      <c r="L4" s="1543"/>
      <c r="N4" s="1094"/>
      <c r="Q4" s="1745"/>
      <c r="X4" t="s">
        <v>1035</v>
      </c>
      <c r="AB4" s="1745">
        <f ca="1">DevCosts!D133-DevCosts!D119</f>
        <v>0</v>
      </c>
    </row>
    <row r="5" spans="2:29" ht="15">
      <c r="B5" t="str">
        <f>Sources!B50</f>
        <v>Private Loan #1</v>
      </c>
      <c r="F5" s="1720">
        <f>Sources!D50</f>
        <v>0</v>
      </c>
      <c r="G5" s="1721">
        <f t="shared" ref="G5:G24" si="0">F5/$F$25</f>
        <v>0</v>
      </c>
      <c r="N5" s="1095" t="s">
        <v>1036</v>
      </c>
      <c r="S5" s="1095" t="s">
        <v>1037</v>
      </c>
      <c r="V5" s="1745"/>
    </row>
    <row r="6" spans="2:29" ht="16.5" customHeight="1">
      <c r="B6" t="str">
        <f>Sources!B51</f>
        <v>Private Loan #2</v>
      </c>
      <c r="F6" s="1720">
        <f>Sources!D51</f>
        <v>0</v>
      </c>
      <c r="G6" s="1721">
        <f t="shared" si="0"/>
        <v>0</v>
      </c>
      <c r="I6" s="1749" t="s">
        <v>1038</v>
      </c>
      <c r="J6" s="1750"/>
      <c r="K6" s="1750"/>
      <c r="L6" s="1750"/>
      <c r="N6" s="547" t="s">
        <v>1039</v>
      </c>
      <c r="O6" s="547"/>
      <c r="P6" s="547"/>
      <c r="Q6" s="547" t="s">
        <v>273</v>
      </c>
      <c r="R6" s="547"/>
      <c r="S6" s="547" t="s">
        <v>1039</v>
      </c>
      <c r="T6" s="547"/>
      <c r="U6" s="547"/>
      <c r="V6" s="1783" t="s">
        <v>273</v>
      </c>
      <c r="X6" s="1758" t="s">
        <v>1040</v>
      </c>
    </row>
    <row r="7" spans="2:29" ht="16.5" customHeight="1">
      <c r="B7" t="str">
        <f>Sources!B52</f>
        <v>Tax Exempt Bond #1</v>
      </c>
      <c r="F7" s="1720">
        <f>Sources!D52</f>
        <v>0</v>
      </c>
      <c r="G7" s="1721">
        <f t="shared" si="0"/>
        <v>0</v>
      </c>
      <c r="N7" s="1740" t="s">
        <v>1041</v>
      </c>
      <c r="S7" s="547" t="s">
        <v>1042</v>
      </c>
      <c r="T7" s="547"/>
      <c r="U7" s="547"/>
      <c r="V7" s="1783"/>
      <c r="X7" s="1758" t="s">
        <v>1043</v>
      </c>
    </row>
    <row r="8" spans="2:29" ht="15">
      <c r="B8" t="str">
        <f>Sources!B53</f>
        <v>Tax Exempt Bond #2</v>
      </c>
      <c r="F8" s="1720">
        <f>Sources!D53</f>
        <v>0</v>
      </c>
      <c r="G8" s="1721">
        <f t="shared" si="0"/>
        <v>0</v>
      </c>
      <c r="I8" s="1738" t="s">
        <v>947</v>
      </c>
      <c r="J8" s="1740" t="s">
        <v>1044</v>
      </c>
      <c r="K8" s="1740" t="s">
        <v>1045</v>
      </c>
      <c r="L8" s="1740" t="s">
        <v>1046</v>
      </c>
      <c r="N8" s="1094" t="s">
        <v>1042</v>
      </c>
      <c r="Q8" s="1720" t="e">
        <f ca="1">SUM(DevCosts!D12,DevCosts!D19,DevCosts!D31,DevCosts!D39,DevCosts!D47)-Exhibits!V8</f>
        <v>#DIV/0!</v>
      </c>
      <c r="S8" s="1780" t="s">
        <v>1047</v>
      </c>
      <c r="V8" s="1745" t="e">
        <f ca="1">('Units&amp;Income'!AS94/'Units&amp;Income'!AV94)*DevCosts!D133</f>
        <v>#DIV/0!</v>
      </c>
    </row>
    <row r="9" spans="2:29" ht="15">
      <c r="B9" t="str">
        <f>Sources!B54</f>
        <v>Tax Exempt Bond #3</v>
      </c>
      <c r="F9" s="1720">
        <f>Sources!D54</f>
        <v>0</v>
      </c>
      <c r="G9" s="1721">
        <f t="shared" si="0"/>
        <v>0</v>
      </c>
      <c r="I9" t="s">
        <v>1048</v>
      </c>
      <c r="J9" s="1745">
        <f>DevCosts!D4</f>
        <v>0</v>
      </c>
      <c r="K9" s="1741">
        <v>1</v>
      </c>
      <c r="L9" s="1745">
        <f>J9*K9</f>
        <v>0</v>
      </c>
      <c r="N9" s="1094" t="s">
        <v>1049</v>
      </c>
      <c r="Q9" s="1720">
        <f ca="1">SUM(DevCosts!D80,DevCosts!D97,DevCosts!D103,DevCosts!D108,DevCosts!D113,DevCosts!D119,DevCosts!D127,DevCosts!D132)-SUM(V11:V20)</f>
        <v>0</v>
      </c>
      <c r="S9" s="1784" t="s">
        <v>1050</v>
      </c>
      <c r="T9" s="285"/>
      <c r="U9" s="285"/>
      <c r="V9" s="1762">
        <f>DevCosts!D58</f>
        <v>0</v>
      </c>
      <c r="X9" s="1752" t="s">
        <v>1051</v>
      </c>
      <c r="AB9" s="1720">
        <f ca="1">AB4</f>
        <v>0</v>
      </c>
    </row>
    <row r="10" spans="2:29" ht="15.75" thickBot="1">
      <c r="B10" t="str">
        <f>Sources!B55</f>
        <v>CDBG</v>
      </c>
      <c r="F10" s="1720">
        <f>Sources!D55</f>
        <v>0</v>
      </c>
      <c r="G10" s="1721">
        <f t="shared" si="0"/>
        <v>0</v>
      </c>
      <c r="I10" t="s">
        <v>1052</v>
      </c>
      <c r="J10" s="1745">
        <f>SUM(DevCosts!D32,DevCosts!D34,DevCosts!D35)</f>
        <v>0</v>
      </c>
      <c r="K10" s="1742">
        <v>1</v>
      </c>
      <c r="L10" s="1745">
        <f t="shared" ref="L10:L17" si="1">J10*K10</f>
        <v>0</v>
      </c>
      <c r="N10" s="1759"/>
      <c r="O10" s="1759"/>
      <c r="P10" s="1786" t="s">
        <v>1053</v>
      </c>
      <c r="Q10" s="1787" t="e">
        <f ca="1">SUM(Q8:Q9)</f>
        <v>#DIV/0!</v>
      </c>
      <c r="S10" s="547" t="s">
        <v>852</v>
      </c>
      <c r="T10" s="547"/>
      <c r="U10" s="547"/>
      <c r="V10" s="1783"/>
      <c r="X10" s="1752" t="s">
        <v>1054</v>
      </c>
      <c r="AB10" s="1745">
        <v>5000000</v>
      </c>
      <c r="AC10" s="1720">
        <f ca="1">AB9-AB10</f>
        <v>-5000000</v>
      </c>
    </row>
    <row r="11" spans="2:29" ht="15.75" thickTop="1">
      <c r="B11" t="str">
        <f>Sources!B56</f>
        <v>HOME</v>
      </c>
      <c r="F11" s="1720">
        <f>Sources!D56</f>
        <v>0</v>
      </c>
      <c r="G11" s="1721">
        <f t="shared" si="0"/>
        <v>0</v>
      </c>
      <c r="I11" s="1739" t="s">
        <v>1055</v>
      </c>
      <c r="J11" s="1745" t="e">
        <f>SUM(DevCosts!D13,DevCosts!D16:D18)/'Units&amp;Income'!AV94*('Units&amp;Income'!AV94-'Units&amp;Income'!AS94)</f>
        <v>#DIV/0!</v>
      </c>
      <c r="K11" s="1742">
        <v>0.5</v>
      </c>
      <c r="L11" s="1745" t="e">
        <f t="shared" si="1"/>
        <v>#DIV/0!</v>
      </c>
      <c r="S11" s="1780" t="s">
        <v>1056</v>
      </c>
      <c r="V11" s="1745">
        <f>SUM(DevCosts!D81:D82)</f>
        <v>0</v>
      </c>
      <c r="X11" s="1752" t="s">
        <v>1057</v>
      </c>
      <c r="AB11" s="1779">
        <v>0.1</v>
      </c>
      <c r="AC11" s="1779">
        <v>0.05</v>
      </c>
    </row>
    <row r="12" spans="2:29" ht="15">
      <c r="B12" t="str">
        <f>Sources!B57</f>
        <v>MAUI</v>
      </c>
      <c r="F12" s="1720">
        <f>Sources!D57</f>
        <v>0</v>
      </c>
      <c r="G12" s="1721">
        <f t="shared" si="0"/>
        <v>0</v>
      </c>
      <c r="I12" s="1739" t="s">
        <v>1058</v>
      </c>
      <c r="J12" s="1745">
        <f>DevCosts!D42</f>
        <v>0</v>
      </c>
      <c r="K12" s="1742">
        <v>1</v>
      </c>
      <c r="L12" s="1745">
        <f t="shared" si="1"/>
        <v>0</v>
      </c>
      <c r="S12" s="1780" t="s">
        <v>1059</v>
      </c>
      <c r="V12" s="1781">
        <f>SUM(DevCosts!D89:D94)</f>
        <v>0</v>
      </c>
      <c r="X12" s="1752" t="s">
        <v>1060</v>
      </c>
      <c r="AB12" s="1762">
        <f>AB10*AB11</f>
        <v>500000</v>
      </c>
      <c r="AC12" s="1754">
        <f ca="1">AC10*AC11</f>
        <v>-250000</v>
      </c>
    </row>
    <row r="13" spans="2:29" ht="27" thickBot="1">
      <c r="B13" t="str">
        <f>Sources!B58</f>
        <v>CHA Loan</v>
      </c>
      <c r="F13" s="1720">
        <f>Sources!D58</f>
        <v>0</v>
      </c>
      <c r="G13" s="1721">
        <f t="shared" si="0"/>
        <v>0</v>
      </c>
      <c r="I13" s="1746" t="s">
        <v>1061</v>
      </c>
      <c r="J13" s="1745"/>
      <c r="K13" s="471"/>
      <c r="L13" s="1745"/>
      <c r="S13" s="1780" t="s">
        <v>1062</v>
      </c>
      <c r="V13" s="1785">
        <f>DevCosts!D100</f>
        <v>0</v>
      </c>
      <c r="X13" s="1755" t="s">
        <v>1063</v>
      </c>
      <c r="Y13" s="1756"/>
      <c r="Z13" s="1756"/>
      <c r="AA13" s="1756"/>
      <c r="AB13" s="1763">
        <f ca="1">IF((AB12+AC12)&lt;2500000,AB12+AC12,2500000)</f>
        <v>250000</v>
      </c>
      <c r="AC13" s="1757"/>
    </row>
    <row r="14" spans="2:29" ht="15">
      <c r="B14" t="str">
        <f>Sources!B59</f>
        <v>IHDA Loan</v>
      </c>
      <c r="F14" s="1720">
        <f>Sources!D59</f>
        <v>0</v>
      </c>
      <c r="G14" s="1721">
        <f t="shared" si="0"/>
        <v>0</v>
      </c>
      <c r="I14" t="s">
        <v>1064</v>
      </c>
      <c r="J14" s="1745">
        <f>DevCosts!D59</f>
        <v>0</v>
      </c>
      <c r="K14" s="1743">
        <v>0.5</v>
      </c>
      <c r="L14" s="1745">
        <f t="shared" si="1"/>
        <v>0</v>
      </c>
      <c r="S14" s="1780" t="s">
        <v>1065</v>
      </c>
      <c r="V14" s="1785">
        <f>SUM(DevCosts!D98:D99)</f>
        <v>0</v>
      </c>
    </row>
    <row r="15" spans="2:29" ht="15">
      <c r="B15" t="str">
        <f>Sources!B60</f>
        <v>Illinois Donations</v>
      </c>
      <c r="F15" s="1720">
        <f>Sources!D60</f>
        <v>0</v>
      </c>
      <c r="G15" s="1721">
        <f t="shared" si="0"/>
        <v>0</v>
      </c>
      <c r="I15" t="s">
        <v>1066</v>
      </c>
      <c r="J15" s="1745">
        <f>DevCosts!D60</f>
        <v>0</v>
      </c>
      <c r="K15" s="1743">
        <v>0.5</v>
      </c>
      <c r="L15" s="1745">
        <f t="shared" si="1"/>
        <v>0</v>
      </c>
      <c r="S15" s="1780" t="s">
        <v>404</v>
      </c>
      <c r="V15" s="1785">
        <f>DevCosts!D125</f>
        <v>0</v>
      </c>
      <c r="X15" s="1758" t="s">
        <v>1067</v>
      </c>
    </row>
    <row r="16" spans="2:29" ht="15">
      <c r="B16" t="str">
        <f>Sources!B61</f>
        <v>TIF Loan/ Grant</v>
      </c>
      <c r="F16" s="1720">
        <f>Sources!D61</f>
        <v>0</v>
      </c>
      <c r="G16" s="1721">
        <f t="shared" si="0"/>
        <v>0</v>
      </c>
      <c r="I16" t="s">
        <v>1068</v>
      </c>
      <c r="J16" s="1745">
        <f>DevCosts!D61</f>
        <v>0</v>
      </c>
      <c r="K16" s="1743">
        <v>0.5</v>
      </c>
      <c r="L16" s="1745">
        <f t="shared" si="1"/>
        <v>0</v>
      </c>
      <c r="S16" s="1780" t="s">
        <v>1069</v>
      </c>
      <c r="V16" s="1785">
        <f>DevCosts!D20</f>
        <v>0</v>
      </c>
      <c r="X16" s="1751"/>
    </row>
    <row r="17" spans="2:29" ht="15">
      <c r="B17" t="str">
        <f>Sources!B62</f>
        <v>FHLB AHP</v>
      </c>
      <c r="F17" s="1720">
        <f>Sources!D62</f>
        <v>0</v>
      </c>
      <c r="G17" s="1721">
        <f t="shared" si="0"/>
        <v>0</v>
      </c>
      <c r="I17" s="1764" t="s">
        <v>1070</v>
      </c>
      <c r="J17" s="1745">
        <f ca="1">DevCosts!D95</f>
        <v>0</v>
      </c>
      <c r="K17" s="1744">
        <v>0.3</v>
      </c>
      <c r="L17" s="1745">
        <f t="shared" ca="1" si="1"/>
        <v>0</v>
      </c>
      <c r="S17" s="1780" t="s">
        <v>403</v>
      </c>
      <c r="V17" s="1745">
        <f>DevCosts!D124</f>
        <v>0</v>
      </c>
      <c r="X17" s="1752" t="s">
        <v>1051</v>
      </c>
      <c r="AB17" s="1720">
        <f ca="1">AB4</f>
        <v>0</v>
      </c>
    </row>
    <row r="18" spans="2:29" ht="15">
      <c r="B18" t="str">
        <f>Sources!B63</f>
        <v>Grant #1</v>
      </c>
      <c r="F18" s="1720">
        <f>Sources!D63</f>
        <v>0</v>
      </c>
      <c r="G18" s="1721">
        <f t="shared" si="0"/>
        <v>0</v>
      </c>
      <c r="S18" s="1780" t="s">
        <v>1071</v>
      </c>
      <c r="V18" s="1745">
        <f>DevCosts!D120</f>
        <v>0</v>
      </c>
      <c r="X18" s="1752" t="s">
        <v>1072</v>
      </c>
      <c r="AB18" s="379">
        <v>0.06</v>
      </c>
    </row>
    <row r="19" spans="2:29" ht="15.75" thickBot="1">
      <c r="B19" t="str">
        <f>Sources!B64</f>
        <v>Grant #2</v>
      </c>
      <c r="F19" s="1720">
        <f>Sources!D64</f>
        <v>0</v>
      </c>
      <c r="G19" s="1721">
        <f t="shared" si="0"/>
        <v>0</v>
      </c>
      <c r="K19" s="1598" t="s">
        <v>1073</v>
      </c>
      <c r="L19" s="1747" t="e">
        <f>SUM(L9:L12,L14:L17)</f>
        <v>#DIV/0!</v>
      </c>
      <c r="S19" s="1780" t="s">
        <v>401</v>
      </c>
      <c r="V19" s="1745">
        <f>DevCosts!D122</f>
        <v>0</v>
      </c>
      <c r="X19" s="1755" t="s">
        <v>1074</v>
      </c>
      <c r="Y19" s="1756"/>
      <c r="Z19" s="1756"/>
      <c r="AA19" s="1756"/>
      <c r="AB19" s="1763">
        <f ca="1">IF((AB17*AB18)&lt;2500000,(AB17*AB18),2500000)</f>
        <v>0</v>
      </c>
      <c r="AC19" s="1756"/>
    </row>
    <row r="20" spans="2:29" ht="15.75" thickTop="1">
      <c r="B20" t="str">
        <f>Sources!B65</f>
        <v>Grant #3</v>
      </c>
      <c r="F20" s="1720">
        <f>Sources!D65</f>
        <v>0</v>
      </c>
      <c r="G20" s="1721">
        <f t="shared" si="0"/>
        <v>0</v>
      </c>
      <c r="K20" s="1598"/>
      <c r="L20" s="1765"/>
      <c r="S20" s="1780" t="s">
        <v>402</v>
      </c>
      <c r="V20" s="1745">
        <f>DevCosts!D123</f>
        <v>0</v>
      </c>
      <c r="X20" s="1753"/>
    </row>
    <row r="21" spans="2:29" ht="15.75" thickBot="1">
      <c r="B21" t="str">
        <f>Sources!B66</f>
        <v>Grant #4</v>
      </c>
      <c r="F21" s="1720">
        <f>Sources!D66</f>
        <v>0</v>
      </c>
      <c r="G21" s="1721">
        <f t="shared" si="0"/>
        <v>0</v>
      </c>
      <c r="I21" s="1094" t="s">
        <v>1075</v>
      </c>
      <c r="K21" s="1598"/>
      <c r="L21" s="1765"/>
      <c r="S21" s="1759"/>
      <c r="T21" s="1759"/>
      <c r="U21" s="1786" t="s">
        <v>1076</v>
      </c>
      <c r="V21" s="1787" t="e">
        <f ca="1">SUM(V8:V9,V11:V20)</f>
        <v>#DIV/0!</v>
      </c>
      <c r="X21" s="1759" t="s">
        <v>1077</v>
      </c>
      <c r="Y21" s="1760"/>
      <c r="Z21" s="1760"/>
      <c r="AA21" s="1760"/>
      <c r="AB21" s="1761">
        <f ca="1">IF(MIN(AB13,AB19)&lt;2500000,MIN(AB13,AB19),2500000)</f>
        <v>0</v>
      </c>
      <c r="AC21" s="1760"/>
    </row>
    <row r="22" spans="2:29" ht="15.75" thickTop="1">
      <c r="B22" t="str">
        <f>Sources!B67</f>
        <v>Deferred Developer Fee</v>
      </c>
      <c r="F22" s="1720">
        <f>Sources!D67</f>
        <v>0</v>
      </c>
      <c r="G22" s="1721">
        <f t="shared" si="0"/>
        <v>0</v>
      </c>
      <c r="S22" s="1782" t="s">
        <v>1078</v>
      </c>
    </row>
    <row r="23" spans="2:29" ht="15">
      <c r="B23" t="str">
        <f>Sources!B68</f>
        <v>General Partner Equity</v>
      </c>
      <c r="F23" s="1720">
        <f>Sources!D68</f>
        <v>100</v>
      </c>
      <c r="G23" s="1721">
        <f t="shared" si="0"/>
        <v>1</v>
      </c>
      <c r="I23" s="1749" t="s">
        <v>1079</v>
      </c>
      <c r="J23" s="1750"/>
      <c r="K23" s="1750"/>
      <c r="L23" s="1750"/>
    </row>
    <row r="24" spans="2:29" ht="15">
      <c r="B24" t="str">
        <f>Sources!B69</f>
        <v>Tax Credit Equity</v>
      </c>
      <c r="F24" s="1720">
        <f>Sources!D69</f>
        <v>0</v>
      </c>
      <c r="G24" s="1721">
        <f t="shared" si="0"/>
        <v>0</v>
      </c>
    </row>
    <row r="25" spans="2:29" ht="15.75" thickBot="1">
      <c r="C25" s="1722" t="s">
        <v>871</v>
      </c>
      <c r="F25" s="1723">
        <f>SUM(F5:F24)</f>
        <v>100</v>
      </c>
      <c r="G25" s="1724">
        <f>SUM(G5:G24)</f>
        <v>1</v>
      </c>
      <c r="I25" s="1094" t="s">
        <v>1080</v>
      </c>
      <c r="L25" s="1720">
        <f>Exhibits!F33</f>
        <v>0</v>
      </c>
    </row>
    <row r="26" spans="2:29" ht="13.5" thickTop="1">
      <c r="I26" s="1094" t="s">
        <v>1081</v>
      </c>
      <c r="L26" s="1720">
        <f>SUM(DevCosts!D59:D62,DevCosts!D41)</f>
        <v>0</v>
      </c>
    </row>
    <row r="27" spans="2:29" ht="37.5" customHeight="1" thickBot="1">
      <c r="B27" s="1718" t="s">
        <v>1082</v>
      </c>
      <c r="F27" s="1725" t="s">
        <v>273</v>
      </c>
      <c r="G27" s="1726" t="s">
        <v>1083</v>
      </c>
      <c r="I27" s="1094" t="s">
        <v>1084</v>
      </c>
      <c r="L27" s="1723">
        <f>SUM(L25:L26)</f>
        <v>0</v>
      </c>
    </row>
    <row r="28" spans="2:29" ht="13.5" thickTop="1">
      <c r="B28" t="s">
        <v>1048</v>
      </c>
      <c r="F28" s="1720">
        <f>DevCosts!D12</f>
        <v>0</v>
      </c>
      <c r="G28" s="1727">
        <f>F28/$D$52</f>
        <v>0</v>
      </c>
    </row>
    <row r="29" spans="2:29">
      <c r="F29" s="1720"/>
      <c r="G29" s="1720"/>
      <c r="I29" s="1095" t="s">
        <v>1085</v>
      </c>
      <c r="J29" s="1095"/>
      <c r="K29" s="1095"/>
      <c r="L29" s="1748">
        <f>L27*0.26</f>
        <v>0</v>
      </c>
    </row>
    <row r="30" spans="2:29" ht="15">
      <c r="B30" s="1718" t="s">
        <v>1042</v>
      </c>
      <c r="F30" s="1720"/>
      <c r="G30" s="1720"/>
      <c r="I30" s="1095" t="s">
        <v>1086</v>
      </c>
      <c r="J30" s="1095"/>
      <c r="K30" s="1095"/>
      <c r="L30" s="1748">
        <f>L27*0.06</f>
        <v>0</v>
      </c>
    </row>
    <row r="31" spans="2:29">
      <c r="B31" t="s">
        <v>332</v>
      </c>
      <c r="F31" s="1720">
        <f>SUM(DevCosts!D13:D18,DevCosts!D20:D29,DevCosts!D32:D37,DevCosts!D40:D45,DevCosts!D48:D56)</f>
        <v>0</v>
      </c>
      <c r="G31" s="1720">
        <f>F31/$D$52</f>
        <v>0</v>
      </c>
    </row>
    <row r="32" spans="2:29">
      <c r="B32" t="s">
        <v>1087</v>
      </c>
      <c r="F32" s="1720">
        <f>SUM(DevCosts!D30,DevCosts!D38,DevCosts!D46,DevCosts!D57)</f>
        <v>0</v>
      </c>
      <c r="G32" s="1720">
        <f>F32/$D$52</f>
        <v>0</v>
      </c>
      <c r="I32" t="s">
        <v>1088</v>
      </c>
      <c r="L32" s="464">
        <f>'Units&amp;Income'!AV94-'Units&amp;Income'!AS94</f>
        <v>0</v>
      </c>
    </row>
    <row r="33" spans="2:12">
      <c r="B33" t="s">
        <v>1089</v>
      </c>
      <c r="F33" s="1728">
        <f>SUM(F31:F32)</f>
        <v>0</v>
      </c>
      <c r="G33" s="1728">
        <f>SUM(G31:G32)</f>
        <v>0</v>
      </c>
      <c r="I33" t="s">
        <v>1090</v>
      </c>
    </row>
    <row r="34" spans="2:12">
      <c r="F34" s="1720"/>
      <c r="G34" s="1727"/>
    </row>
    <row r="35" spans="2:12" ht="15">
      <c r="B35" s="1718" t="s">
        <v>852</v>
      </c>
      <c r="F35" s="1720"/>
      <c r="G35" s="1727"/>
      <c r="I35" s="1094" t="s">
        <v>1091</v>
      </c>
    </row>
    <row r="36" spans="2:12" ht="15">
      <c r="B36" t="s">
        <v>1092</v>
      </c>
      <c r="D36" s="1729"/>
      <c r="F36" s="1736">
        <f>SUM(DevCosts!D59:D60)</f>
        <v>0</v>
      </c>
      <c r="G36" s="1727">
        <f t="shared" ref="G36:G47" si="2">F36/$D$52</f>
        <v>0</v>
      </c>
      <c r="I36" s="1094"/>
    </row>
    <row r="37" spans="2:12" ht="15">
      <c r="B37" t="s">
        <v>340</v>
      </c>
      <c r="D37" s="1729"/>
      <c r="F37" s="1736">
        <f>DevCosts!D61</f>
        <v>0</v>
      </c>
      <c r="G37" s="1727">
        <f t="shared" si="2"/>
        <v>0</v>
      </c>
      <c r="I37" s="1749" t="s">
        <v>1093</v>
      </c>
      <c r="J37" s="1750"/>
      <c r="K37" s="1750"/>
      <c r="L37" s="1750"/>
    </row>
    <row r="38" spans="2:12" ht="15">
      <c r="B38" s="1737" t="s">
        <v>1094</v>
      </c>
      <c r="D38" s="1729"/>
      <c r="F38" s="1736">
        <f>DevCosts!D82</f>
        <v>0</v>
      </c>
      <c r="G38" s="1727">
        <f t="shared" si="2"/>
        <v>0</v>
      </c>
    </row>
    <row r="39" spans="2:12" ht="15">
      <c r="B39" t="s">
        <v>1095</v>
      </c>
      <c r="D39" s="1729"/>
      <c r="F39" s="1736">
        <f>SUM(DevCosts!D69:D70,DevCosts!D87)</f>
        <v>0</v>
      </c>
      <c r="G39" s="1727">
        <f t="shared" si="2"/>
        <v>0</v>
      </c>
      <c r="I39" s="1769" t="s">
        <v>1039</v>
      </c>
      <c r="J39" s="1772" t="s">
        <v>273</v>
      </c>
      <c r="K39" s="1769"/>
    </row>
    <row r="40" spans="2:12" ht="15">
      <c r="B40" t="s">
        <v>1096</v>
      </c>
      <c r="D40" s="1729"/>
      <c r="F40" s="1736">
        <f>DevCosts!D108</f>
        <v>0</v>
      </c>
      <c r="G40" s="1727">
        <f t="shared" si="2"/>
        <v>0</v>
      </c>
      <c r="I40" s="1768" t="s">
        <v>1048</v>
      </c>
      <c r="J40" s="1773">
        <f>DevCosts!D12</f>
        <v>0</v>
      </c>
      <c r="K40" s="1768"/>
    </row>
    <row r="41" spans="2:12" ht="15">
      <c r="B41" s="1737" t="s">
        <v>1097</v>
      </c>
      <c r="D41" s="1729"/>
      <c r="F41" s="1736">
        <f ca="1">DevCosts!D95</f>
        <v>0</v>
      </c>
      <c r="G41" s="1727">
        <f t="shared" ca="1" si="2"/>
        <v>0</v>
      </c>
      <c r="I41" s="1752" t="s">
        <v>1098</v>
      </c>
      <c r="J41" s="1774">
        <f>DevCosts!D13</f>
        <v>0</v>
      </c>
      <c r="K41" s="1752"/>
    </row>
    <row r="42" spans="2:12" ht="15">
      <c r="B42" t="s">
        <v>1099</v>
      </c>
      <c r="D42" s="1729"/>
      <c r="F42" s="1736">
        <f>SUM(DevCosts!D76:D77)</f>
        <v>0</v>
      </c>
      <c r="G42" s="1727">
        <f t="shared" si="2"/>
        <v>0</v>
      </c>
      <c r="I42" s="1752" t="s">
        <v>1100</v>
      </c>
      <c r="J42" s="1774">
        <f>DevCosts!D58</f>
        <v>0</v>
      </c>
      <c r="K42" s="1752"/>
    </row>
    <row r="43" spans="2:12" ht="15">
      <c r="B43" t="s">
        <v>334</v>
      </c>
      <c r="D43" s="1729"/>
      <c r="F43" s="1736">
        <f>DevCosts!D127</f>
        <v>0</v>
      </c>
      <c r="G43" s="1727">
        <f t="shared" si="2"/>
        <v>0</v>
      </c>
      <c r="I43" s="1752" t="s">
        <v>1101</v>
      </c>
      <c r="J43" s="1774">
        <f>SUM(DevCosts!D14:D18,DevCosts!D20:D30,DevCosts!D32:D38,DevCosts!D40:D46)</f>
        <v>0</v>
      </c>
      <c r="K43" s="1752"/>
    </row>
    <row r="44" spans="2:12" ht="15">
      <c r="B44" t="s">
        <v>360</v>
      </c>
      <c r="D44" s="1729"/>
      <c r="F44" s="1736">
        <f>DevCosts!D81</f>
        <v>0</v>
      </c>
      <c r="G44" s="1727">
        <f t="shared" si="2"/>
        <v>0</v>
      </c>
      <c r="I44" s="1752" t="s">
        <v>1102</v>
      </c>
      <c r="J44" s="1774"/>
      <c r="K44" s="1752"/>
    </row>
    <row r="45" spans="2:12" ht="15">
      <c r="B45" t="s">
        <v>1103</v>
      </c>
      <c r="D45" s="1729"/>
      <c r="F45" s="1736">
        <f>SUM(DevCosts!D89:D94)</f>
        <v>0</v>
      </c>
      <c r="G45" s="1727">
        <f t="shared" si="2"/>
        <v>0</v>
      </c>
      <c r="I45" s="1767" t="s">
        <v>1104</v>
      </c>
      <c r="J45" s="1774">
        <f>SUM(DevCosts!D76:D77)</f>
        <v>0</v>
      </c>
      <c r="K45" s="1752"/>
    </row>
    <row r="46" spans="2:12" ht="15">
      <c r="B46" t="s">
        <v>393</v>
      </c>
      <c r="D46" s="1729"/>
      <c r="F46" s="1736">
        <f ca="1">DevCosts!D119</f>
        <v>0</v>
      </c>
      <c r="G46" s="1777">
        <f t="shared" ca="1" si="2"/>
        <v>0</v>
      </c>
      <c r="I46" s="1767" t="s">
        <v>1105</v>
      </c>
      <c r="J46" s="1774">
        <f>SUM(DevCosts!D59:D75,DevCosts!D78:D79)</f>
        <v>0</v>
      </c>
      <c r="K46" s="1767"/>
    </row>
    <row r="47" spans="2:12" ht="15">
      <c r="B47" t="s">
        <v>1106</v>
      </c>
      <c r="D47" s="1729"/>
      <c r="F47" s="1736">
        <f>SUM(DevCosts!D62:D68,DevCosts!D71:D75,DevCosts!D78:D79,DevCosts!D83:D86,DevCosts!D88,DevCosts!D96,DevCosts!D98:D102,DevCosts!D109:D112,DevCosts!D128:D131)</f>
        <v>0</v>
      </c>
      <c r="G47" s="1727">
        <f t="shared" si="2"/>
        <v>0</v>
      </c>
      <c r="I47" s="1767" t="s">
        <v>1107</v>
      </c>
      <c r="J47" s="1774">
        <f ca="1">DevCosts!D97</f>
        <v>0</v>
      </c>
      <c r="K47" s="1767"/>
    </row>
    <row r="48" spans="2:12" ht="15">
      <c r="B48" t="s">
        <v>1108</v>
      </c>
      <c r="F48" s="1728">
        <f ca="1">SUM(F36:F47)</f>
        <v>0</v>
      </c>
      <c r="G48" s="1730">
        <f ca="1">SUM(G36:G47)</f>
        <v>0</v>
      </c>
      <c r="I48" s="1767" t="s">
        <v>1109</v>
      </c>
      <c r="J48" s="1774">
        <f>DevCosts!D103</f>
        <v>0</v>
      </c>
      <c r="K48" s="1767"/>
    </row>
    <row r="49" spans="2:11" ht="15">
      <c r="F49" s="1720"/>
      <c r="G49" s="1727"/>
      <c r="I49" s="1767" t="s">
        <v>1110</v>
      </c>
      <c r="J49" s="1774">
        <f>DevCosts!D108</f>
        <v>0</v>
      </c>
      <c r="K49" s="1767"/>
    </row>
    <row r="50" spans="2:11" ht="15.75" thickBot="1">
      <c r="C50" s="1722" t="s">
        <v>969</v>
      </c>
      <c r="F50" s="1723">
        <f ca="1">F28+F33+F48</f>
        <v>0</v>
      </c>
      <c r="G50" s="1723">
        <f ca="1">G28+G33+G48</f>
        <v>0</v>
      </c>
      <c r="I50" s="1767" t="s">
        <v>1111</v>
      </c>
      <c r="J50" s="1774">
        <f ca="1">SUM(DevCosts!D114,DevCosts!D116:D118)</f>
        <v>0</v>
      </c>
      <c r="K50" s="1767"/>
    </row>
    <row r="51" spans="2:11" ht="15.75" thickTop="1">
      <c r="I51" s="1767" t="s">
        <v>1112</v>
      </c>
      <c r="J51" s="1774">
        <f>DevCosts!D115</f>
        <v>0</v>
      </c>
      <c r="K51" s="1767"/>
    </row>
    <row r="52" spans="2:11" ht="15">
      <c r="B52" s="2044" t="s">
        <v>1113</v>
      </c>
      <c r="C52" s="2044"/>
      <c r="D52" s="1735">
        <f>Setup!D38</f>
        <v>100000</v>
      </c>
      <c r="E52" s="1731"/>
      <c r="F52" s="1732" t="s">
        <v>1114</v>
      </c>
      <c r="G52" s="1778" t="e">
        <f ca="1">$F$50/'Units&amp;Income'!AV94</f>
        <v>#DIV/0!</v>
      </c>
      <c r="I52" s="1770" t="s">
        <v>1115</v>
      </c>
      <c r="J52" s="1774">
        <f>DevCosts!D127</f>
        <v>0</v>
      </c>
      <c r="K52" s="1767"/>
    </row>
    <row r="53" spans="2:11" ht="15">
      <c r="B53" s="2044"/>
      <c r="C53" s="2044"/>
      <c r="F53" s="1732" t="s">
        <v>1116</v>
      </c>
      <c r="G53" s="1733">
        <f ca="1">G50</f>
        <v>0</v>
      </c>
      <c r="I53" s="1770" t="s">
        <v>1117</v>
      </c>
      <c r="J53" s="1774">
        <f>DevCosts!D132</f>
        <v>0</v>
      </c>
      <c r="K53" s="1770"/>
    </row>
    <row r="54" spans="2:11" ht="15.75" thickBot="1">
      <c r="I54" s="1775" t="s">
        <v>1118</v>
      </c>
      <c r="J54" s="1776">
        <f ca="1">SUM(J40:J43,J45:J53)</f>
        <v>0</v>
      </c>
      <c r="K54" s="1771"/>
    </row>
    <row r="55" spans="2:11" ht="30" customHeight="1" thickTop="1">
      <c r="F55" s="1734" t="s">
        <v>1119</v>
      </c>
      <c r="G55" s="1778" t="e">
        <f>$F$33/'Units&amp;Income'!AV94</f>
        <v>#DIV/0!</v>
      </c>
    </row>
    <row r="56" spans="2:11" ht="33.75" customHeight="1">
      <c r="F56" s="1734" t="s">
        <v>1120</v>
      </c>
      <c r="G56" s="1733">
        <f>$F$33/$D$52</f>
        <v>0</v>
      </c>
    </row>
  </sheetData>
  <sheetProtection algorithmName="SHA-512" hashValue="tgKoGuLfAg9QL4jkwgWetMCORKtNvjbix92WVc6xCC5WRsAmD6rP8soBlayUkbexYDjnKk76X2EoXz7uzWe7Dw==" saltValue="kxR6x8q/6oLduRa5mZze3w==" spinCount="100000" sheet="1" objects="1" scenarios="1"/>
  <mergeCells count="6">
    <mergeCell ref="B52:C53"/>
    <mergeCell ref="B2:G2"/>
    <mergeCell ref="I2:L2"/>
    <mergeCell ref="X2:AC2"/>
    <mergeCell ref="N2:V2"/>
    <mergeCell ref="N3:V3"/>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FABEF-3C7D-41A9-AC29-61E2FB9D02BC}">
  <sheetPr>
    <pageSetUpPr fitToPage="1"/>
  </sheetPr>
  <dimension ref="A1:L76"/>
  <sheetViews>
    <sheetView tabSelected="1" zoomScale="85" zoomScaleNormal="85" workbookViewId="0">
      <selection activeCell="E1" sqref="E1"/>
    </sheetView>
  </sheetViews>
  <sheetFormatPr defaultRowHeight="15"/>
  <cols>
    <col min="1" max="1" width="4.5703125" style="1848" customWidth="1"/>
    <col min="2" max="2" width="9.140625" style="1848"/>
    <col min="3" max="3" width="27.5703125" style="1848" customWidth="1"/>
    <col min="4" max="4" width="12.85546875" style="1856" customWidth="1"/>
    <col min="5" max="5" width="7.42578125" style="1848" customWidth="1"/>
    <col min="6" max="6" width="10.42578125" style="1848" customWidth="1"/>
    <col min="7" max="7" width="9.140625" style="1848"/>
    <col min="8" max="8" width="9.5703125" style="1848" customWidth="1"/>
    <col min="9" max="9" width="10.28515625" style="1848" customWidth="1"/>
    <col min="10" max="10" width="14.42578125" style="1848" customWidth="1"/>
    <col min="11" max="11" width="18" style="1848" customWidth="1"/>
    <col min="12" max="12" width="9.42578125" style="1848" bestFit="1" customWidth="1"/>
    <col min="13" max="16384" width="9.140625" style="1848"/>
  </cols>
  <sheetData>
    <row r="1" spans="1:11" ht="19.5">
      <c r="A1" s="2077" t="s">
        <v>1562</v>
      </c>
      <c r="B1" s="2077"/>
      <c r="C1" s="2077"/>
      <c r="D1" s="2077"/>
      <c r="G1" s="1849" t="s">
        <v>1563</v>
      </c>
    </row>
    <row r="2" spans="1:11" ht="18.75">
      <c r="A2" s="2078" t="s">
        <v>1610</v>
      </c>
      <c r="B2" s="2078"/>
      <c r="C2" s="2078"/>
      <c r="D2" s="2078"/>
      <c r="E2" s="2078"/>
      <c r="F2" s="2078"/>
      <c r="G2" s="2078"/>
    </row>
    <row r="3" spans="1:11" ht="18.75">
      <c r="A3" s="2078" t="s">
        <v>1611</v>
      </c>
      <c r="B3" s="2078"/>
      <c r="C3" s="2078"/>
      <c r="D3" s="2078"/>
      <c r="E3" s="2078"/>
      <c r="F3" s="2078"/>
      <c r="G3" s="2078"/>
    </row>
    <row r="4" spans="1:11">
      <c r="A4" s="1850" t="s">
        <v>62</v>
      </c>
      <c r="B4" s="1851"/>
      <c r="C4" s="2079" t="str">
        <f>Setup!D7</f>
        <v>Enter Project Name Here</v>
      </c>
      <c r="D4" s="2080"/>
    </row>
    <row r="5" spans="1:11">
      <c r="A5" s="1852" t="s">
        <v>1565</v>
      </c>
      <c r="C5" s="2081">
        <f>Setup!D8</f>
        <v>0</v>
      </c>
      <c r="D5" s="2082"/>
    </row>
    <row r="6" spans="1:11">
      <c r="A6" s="1853" t="s">
        <v>1566</v>
      </c>
      <c r="B6" s="1854"/>
      <c r="C6" s="2083" t="str">
        <f>ReviewDate</f>
        <v>01.24.22</v>
      </c>
      <c r="D6" s="2084"/>
    </row>
    <row r="7" spans="1:11">
      <c r="C7" s="1855"/>
    </row>
    <row r="8" spans="1:11">
      <c r="A8" s="2052" t="s">
        <v>1567</v>
      </c>
      <c r="B8" s="2053"/>
      <c r="C8" s="2053"/>
      <c r="D8" s="2053"/>
      <c r="E8" s="2053"/>
      <c r="F8" s="2053"/>
      <c r="G8" s="2053"/>
      <c r="H8" s="2053"/>
      <c r="I8" s="2053"/>
      <c r="J8" s="1857"/>
    </row>
    <row r="9" spans="1:11">
      <c r="A9" s="1858">
        <v>1</v>
      </c>
      <c r="B9" s="1859"/>
      <c r="C9" s="2054" t="s">
        <v>1568</v>
      </c>
      <c r="D9" s="2054"/>
      <c r="E9" s="2054"/>
      <c r="F9" s="2054"/>
      <c r="G9" s="2054"/>
      <c r="H9" s="2054"/>
      <c r="I9" s="2054"/>
      <c r="J9" s="1860">
        <f>Setup!D39</f>
        <v>100000</v>
      </c>
      <c r="K9" s="1861" t="str">
        <f>IF(J9=TotSqFt,"","Sq. Ft. entered does NOT align with calculated amount on Selection of Method worksheet")</f>
        <v>Sq. Ft. entered does NOT align with calculated amount on Selection of Method worksheet</v>
      </c>
    </row>
    <row r="10" spans="1:11">
      <c r="A10" s="2059"/>
      <c r="B10" s="2060"/>
      <c r="C10" s="2060"/>
      <c r="D10" s="2060"/>
      <c r="E10" s="2060"/>
      <c r="F10" s="2060"/>
      <c r="G10" s="2060"/>
      <c r="H10" s="2060"/>
      <c r="I10" s="2060"/>
      <c r="J10" s="1862"/>
    </row>
    <row r="11" spans="1:11">
      <c r="A11" s="2052" t="s">
        <v>1569</v>
      </c>
      <c r="B11" s="2053"/>
      <c r="C11" s="2053"/>
      <c r="D11" s="2053"/>
      <c r="E11" s="2053"/>
      <c r="F11" s="2053"/>
      <c r="G11" s="2053"/>
      <c r="H11" s="2053"/>
      <c r="I11" s="2053"/>
      <c r="J11" s="1857"/>
    </row>
    <row r="12" spans="1:11">
      <c r="A12" s="1858">
        <v>2</v>
      </c>
      <c r="B12" s="1863"/>
      <c r="C12" s="2055" t="s">
        <v>1612</v>
      </c>
      <c r="D12" s="2055"/>
      <c r="E12" s="2055"/>
      <c r="F12" s="2055"/>
      <c r="G12" s="2055"/>
      <c r="H12" s="2055"/>
      <c r="I12" s="2055"/>
      <c r="J12" s="1864"/>
    </row>
    <row r="13" spans="1:11">
      <c r="A13" s="2059"/>
      <c r="B13" s="2060"/>
      <c r="C13" s="2060"/>
      <c r="D13" s="2060"/>
      <c r="E13" s="2060"/>
      <c r="F13" s="2060"/>
      <c r="G13" s="2060"/>
      <c r="H13" s="2060"/>
      <c r="I13" s="2060"/>
      <c r="J13" s="1857"/>
    </row>
    <row r="14" spans="1:11">
      <c r="A14" s="2052" t="s">
        <v>1571</v>
      </c>
      <c r="B14" s="2053"/>
      <c r="C14" s="2053"/>
      <c r="D14" s="2053"/>
      <c r="E14" s="2053"/>
      <c r="F14" s="2053"/>
      <c r="G14" s="2053"/>
      <c r="H14" s="2053"/>
      <c r="I14" s="2053"/>
      <c r="J14" s="1857"/>
    </row>
    <row r="15" spans="1:11">
      <c r="A15" s="1858">
        <v>3</v>
      </c>
      <c r="B15" s="1859"/>
      <c r="C15" s="2054" t="s">
        <v>1572</v>
      </c>
      <c r="D15" s="2054"/>
      <c r="E15" s="2054"/>
      <c r="F15" s="2054"/>
      <c r="G15" s="2054"/>
      <c r="H15" s="2054"/>
      <c r="I15" s="2054"/>
      <c r="J15" s="1860">
        <f ca="1">DevCosts!D133</f>
        <v>0</v>
      </c>
    </row>
    <row r="16" spans="1:11">
      <c r="A16" s="1858">
        <v>4</v>
      </c>
      <c r="B16" s="1859"/>
      <c r="C16" s="2054" t="s">
        <v>1573</v>
      </c>
      <c r="D16" s="2054"/>
      <c r="E16" s="2054"/>
      <c r="F16" s="2054"/>
      <c r="G16" s="2054"/>
      <c r="H16" s="2054"/>
      <c r="I16" s="2054"/>
      <c r="J16" s="1860" t="e">
        <f ca="1">Exhibits!V21</f>
        <v>#DIV/0!</v>
      </c>
    </row>
    <row r="17" spans="1:12">
      <c r="A17" s="1858">
        <v>5</v>
      </c>
      <c r="B17" s="1859"/>
      <c r="C17" s="2054" t="s">
        <v>1575</v>
      </c>
      <c r="D17" s="2054"/>
      <c r="E17" s="2054"/>
      <c r="F17" s="2054"/>
      <c r="G17" s="2054"/>
      <c r="H17" s="2054"/>
      <c r="I17" s="2054"/>
      <c r="J17" s="1860">
        <f>DevCosts!D113</f>
        <v>0</v>
      </c>
    </row>
    <row r="18" spans="1:12">
      <c r="A18" s="1858">
        <v>6</v>
      </c>
      <c r="B18" s="1859"/>
      <c r="C18" s="2054" t="s">
        <v>1576</v>
      </c>
      <c r="D18" s="2054"/>
      <c r="E18" s="2054"/>
      <c r="F18" s="2054"/>
      <c r="G18" s="2054"/>
      <c r="H18" s="2054"/>
      <c r="I18" s="2054"/>
      <c r="J18" s="1865" t="s">
        <v>130</v>
      </c>
      <c r="K18" s="1861" t="str">
        <f>IF(ISBLANK(J18),"Error, response required.","")</f>
        <v/>
      </c>
    </row>
    <row r="19" spans="1:12">
      <c r="A19" s="2059"/>
      <c r="B19" s="2060"/>
      <c r="C19" s="2060"/>
      <c r="D19" s="2060"/>
      <c r="E19" s="2060"/>
      <c r="F19" s="2060"/>
      <c r="G19" s="2060"/>
      <c r="H19" s="2060"/>
      <c r="I19" s="2060"/>
      <c r="J19" s="1857"/>
    </row>
    <row r="20" spans="1:12">
      <c r="A20" s="1858">
        <v>7</v>
      </c>
      <c r="B20" s="1859"/>
      <c r="C20" s="2054" t="s">
        <v>1577</v>
      </c>
      <c r="D20" s="2054"/>
      <c r="E20" s="2054"/>
      <c r="F20" s="2054"/>
      <c r="G20" s="2054"/>
      <c r="H20" s="2054"/>
      <c r="I20" s="2054"/>
      <c r="J20" s="1862" t="e">
        <f ca="1">IF(J18="No",J15-J16,IF(J18="Yes",J15-J16-J17,"Error"))</f>
        <v>#DIV/0!</v>
      </c>
    </row>
    <row r="21" spans="1:12">
      <c r="A21" s="1858">
        <v>8</v>
      </c>
      <c r="B21" s="1859"/>
      <c r="C21" s="2054" t="s">
        <v>1578</v>
      </c>
      <c r="D21" s="2054"/>
      <c r="E21" s="2054"/>
      <c r="F21" s="2054"/>
      <c r="G21" s="2054"/>
      <c r="H21" s="2054"/>
      <c r="I21" s="2054"/>
      <c r="J21" s="1866" t="e">
        <f ca="1">ROUNDDOWN(J20/J9,2)</f>
        <v>#DIV/0!</v>
      </c>
    </row>
    <row r="22" spans="1:12">
      <c r="A22" s="2059"/>
      <c r="B22" s="2060"/>
      <c r="C22" s="2060"/>
      <c r="D22" s="2060"/>
      <c r="E22" s="2060"/>
      <c r="F22" s="2060"/>
      <c r="G22" s="2060"/>
      <c r="H22" s="2060"/>
      <c r="I22" s="2060"/>
      <c r="J22" s="1857"/>
    </row>
    <row r="23" spans="1:12">
      <c r="A23" s="1858">
        <v>9</v>
      </c>
      <c r="B23" s="1859"/>
      <c r="C23" s="2054" t="s">
        <v>1613</v>
      </c>
      <c r="D23" s="2054"/>
      <c r="E23" s="2054"/>
      <c r="F23" s="2054"/>
      <c r="G23" s="2054"/>
      <c r="H23" s="2054"/>
      <c r="I23" s="2054"/>
      <c r="J23" s="1867" t="e">
        <f ca="1">J12/J20</f>
        <v>#DIV/0!</v>
      </c>
    </row>
    <row r="24" spans="1:12">
      <c r="A24" s="2059"/>
      <c r="B24" s="2060"/>
      <c r="C24" s="2060"/>
      <c r="D24" s="2060"/>
      <c r="E24" s="2060"/>
      <c r="F24" s="2060"/>
      <c r="G24" s="2060"/>
      <c r="H24" s="2060"/>
      <c r="I24" s="2060"/>
      <c r="J24" s="1857"/>
    </row>
    <row r="25" spans="1:12">
      <c r="A25" s="2075" t="s">
        <v>1614</v>
      </c>
      <c r="B25" s="2076"/>
      <c r="C25" s="2076"/>
      <c r="D25" s="2076"/>
      <c r="E25" s="2076"/>
      <c r="F25" s="2076"/>
      <c r="G25" s="2076"/>
      <c r="H25" s="2076"/>
      <c r="I25" s="2076"/>
      <c r="J25" s="1857"/>
      <c r="K25" s="1868"/>
    </row>
    <row r="26" spans="1:12" ht="45">
      <c r="A26" s="1869"/>
      <c r="B26" s="1870" t="s">
        <v>431</v>
      </c>
      <c r="C26" s="1857" t="s">
        <v>1615</v>
      </c>
      <c r="D26" s="1871" t="s">
        <v>1582</v>
      </c>
      <c r="E26" s="1871" t="s">
        <v>1616</v>
      </c>
      <c r="F26" s="1871" t="s">
        <v>1617</v>
      </c>
      <c r="G26" s="1872" t="s">
        <v>1618</v>
      </c>
      <c r="H26" s="1871" t="s">
        <v>1584</v>
      </c>
      <c r="I26" s="1873" t="s">
        <v>1619</v>
      </c>
      <c r="J26" s="2071"/>
      <c r="K26" s="1868"/>
    </row>
    <row r="27" spans="1:12">
      <c r="A27" s="1858">
        <v>10</v>
      </c>
      <c r="B27" s="1835">
        <f>'Units&amp;Income'!AV23</f>
        <v>0</v>
      </c>
      <c r="C27" s="1875" t="s">
        <v>1604</v>
      </c>
      <c r="D27" s="1874">
        <v>0</v>
      </c>
      <c r="E27" s="1876" t="e">
        <f t="shared" ref="E27:E36" ca="1" si="0">$J$23*B27</f>
        <v>#DIV/0!</v>
      </c>
      <c r="F27" s="1874" t="e">
        <f t="shared" ref="F27:F36" ca="1" si="1">ROUNDUP(E27,0)</f>
        <v>#DIV/0!</v>
      </c>
      <c r="G27" s="1877">
        <f>'Units&amp;Income'!C10</f>
        <v>500</v>
      </c>
      <c r="H27" s="1877" t="e">
        <f t="shared" ref="H27:H36" ca="1" si="2">$J$21*G27</f>
        <v>#DIV/0!</v>
      </c>
      <c r="I27" s="1877" t="e">
        <f ca="1">ROUNDDOWN(H27*F27,0)</f>
        <v>#DIV/0!</v>
      </c>
      <c r="J27" s="2072"/>
      <c r="K27" s="1868"/>
      <c r="L27" s="1878"/>
    </row>
    <row r="28" spans="1:12">
      <c r="A28" s="1858">
        <v>11</v>
      </c>
      <c r="B28" s="1835">
        <f>'Units&amp;Income'!AV37</f>
        <v>0</v>
      </c>
      <c r="C28" s="1875" t="s">
        <v>1605</v>
      </c>
      <c r="D28" s="1874">
        <v>1</v>
      </c>
      <c r="E28" s="1876" t="e">
        <f t="shared" ca="1" si="0"/>
        <v>#DIV/0!</v>
      </c>
      <c r="F28" s="1874" t="e">
        <f t="shared" ca="1" si="1"/>
        <v>#DIV/0!</v>
      </c>
      <c r="G28" s="1877">
        <f>'Units&amp;Income'!C24</f>
        <v>700</v>
      </c>
      <c r="H28" s="1879" t="e">
        <f t="shared" ca="1" si="2"/>
        <v>#DIV/0!</v>
      </c>
      <c r="I28" s="1877" t="e">
        <f t="shared" ref="I28:I36" ca="1" si="3">ROUNDDOWN(H28*F28,0)</f>
        <v>#DIV/0!</v>
      </c>
      <c r="J28" s="2072"/>
      <c r="K28" s="1868"/>
    </row>
    <row r="29" spans="1:12">
      <c r="A29" s="1858">
        <v>12</v>
      </c>
      <c r="B29" s="1835">
        <f>'Units&amp;Income'!AV51</f>
        <v>0</v>
      </c>
      <c r="C29" s="1875" t="s">
        <v>1606</v>
      </c>
      <c r="D29" s="1874">
        <v>2</v>
      </c>
      <c r="E29" s="1876" t="e">
        <f ca="1">$J$23*B29</f>
        <v>#DIV/0!</v>
      </c>
      <c r="F29" s="1874" t="e">
        <f t="shared" ca="1" si="1"/>
        <v>#DIV/0!</v>
      </c>
      <c r="G29" s="1877">
        <f>'Units&amp;Income'!C38</f>
        <v>950</v>
      </c>
      <c r="H29" s="1879" t="e">
        <f t="shared" ca="1" si="2"/>
        <v>#DIV/0!</v>
      </c>
      <c r="I29" s="1877" t="e">
        <f ca="1">ROUNDDOWN(H29*F29,0)</f>
        <v>#DIV/0!</v>
      </c>
      <c r="J29" s="2072"/>
      <c r="K29" s="1868"/>
    </row>
    <row r="30" spans="1:12">
      <c r="A30" s="1858">
        <v>13</v>
      </c>
      <c r="B30" s="1835">
        <f>'Units&amp;Income'!AV65</f>
        <v>0</v>
      </c>
      <c r="C30" s="1875" t="s">
        <v>1607</v>
      </c>
      <c r="D30" s="1874">
        <v>3</v>
      </c>
      <c r="E30" s="1876" t="e">
        <f t="shared" ca="1" si="0"/>
        <v>#DIV/0!</v>
      </c>
      <c r="F30" s="1874" t="e">
        <f t="shared" ca="1" si="1"/>
        <v>#DIV/0!</v>
      </c>
      <c r="G30" s="1877">
        <f>'Units&amp;Income'!C52</f>
        <v>1200</v>
      </c>
      <c r="H30" s="1879" t="e">
        <f t="shared" ca="1" si="2"/>
        <v>#DIV/0!</v>
      </c>
      <c r="I30" s="1877" t="e">
        <f t="shared" ca="1" si="3"/>
        <v>#DIV/0!</v>
      </c>
      <c r="J30" s="2072"/>
      <c r="K30" s="1868"/>
    </row>
    <row r="31" spans="1:12">
      <c r="A31" s="1858">
        <v>14</v>
      </c>
      <c r="B31" s="1835">
        <f>'Units&amp;Income'!AV79</f>
        <v>0</v>
      </c>
      <c r="C31" s="1875" t="s">
        <v>1608</v>
      </c>
      <c r="D31" s="1874">
        <v>4</v>
      </c>
      <c r="E31" s="1876" t="e">
        <f t="shared" ca="1" si="0"/>
        <v>#DIV/0!</v>
      </c>
      <c r="F31" s="1874" t="e">
        <f t="shared" ca="1" si="1"/>
        <v>#DIV/0!</v>
      </c>
      <c r="G31" s="1877">
        <f>'Units&amp;Income'!C66</f>
        <v>1400</v>
      </c>
      <c r="H31" s="1879" t="e">
        <f t="shared" ca="1" si="2"/>
        <v>#DIV/0!</v>
      </c>
      <c r="I31" s="1877" t="e">
        <f t="shared" ca="1" si="3"/>
        <v>#DIV/0!</v>
      </c>
      <c r="J31" s="2072"/>
      <c r="K31" s="1868"/>
    </row>
    <row r="32" spans="1:12">
      <c r="A32" s="1858">
        <v>15</v>
      </c>
      <c r="B32" s="1874">
        <f>'[2]Selection of Method'!C17</f>
        <v>0</v>
      </c>
      <c r="C32" s="1875">
        <f>'[2]Selection of Method'!D17</f>
        <v>0</v>
      </c>
      <c r="D32" s="1874">
        <f>'[2]Selection of Method'!E17</f>
        <v>0</v>
      </c>
      <c r="E32" s="1876" t="e">
        <f ca="1">$J$23*B32</f>
        <v>#DIV/0!</v>
      </c>
      <c r="F32" s="1874" t="e">
        <f t="shared" ca="1" si="1"/>
        <v>#DIV/0!</v>
      </c>
      <c r="G32" s="1877">
        <f>'[2]Selection of Method'!G17</f>
        <v>0</v>
      </c>
      <c r="H32" s="1879" t="e">
        <f t="shared" ca="1" si="2"/>
        <v>#DIV/0!</v>
      </c>
      <c r="I32" s="1877" t="e">
        <f t="shared" ca="1" si="3"/>
        <v>#DIV/0!</v>
      </c>
      <c r="J32" s="2072"/>
      <c r="K32" s="1868"/>
    </row>
    <row r="33" spans="1:11">
      <c r="A33" s="1858">
        <v>16</v>
      </c>
      <c r="B33" s="1874">
        <f>'[2]Selection of Method'!C18</f>
        <v>0</v>
      </c>
      <c r="C33" s="1875">
        <f>'[2]Selection of Method'!D18</f>
        <v>0</v>
      </c>
      <c r="D33" s="1874">
        <f>'[2]Selection of Method'!E18</f>
        <v>0</v>
      </c>
      <c r="E33" s="1876" t="e">
        <f t="shared" ca="1" si="0"/>
        <v>#DIV/0!</v>
      </c>
      <c r="F33" s="1874" t="e">
        <f t="shared" ca="1" si="1"/>
        <v>#DIV/0!</v>
      </c>
      <c r="G33" s="1877">
        <f>'[2]Selection of Method'!G18</f>
        <v>0</v>
      </c>
      <c r="H33" s="1879" t="e">
        <f t="shared" ca="1" si="2"/>
        <v>#DIV/0!</v>
      </c>
      <c r="I33" s="1877" t="e">
        <f t="shared" ca="1" si="3"/>
        <v>#DIV/0!</v>
      </c>
      <c r="J33" s="2072"/>
      <c r="K33" s="1868"/>
    </row>
    <row r="34" spans="1:11">
      <c r="A34" s="1858">
        <v>17</v>
      </c>
      <c r="B34" s="1874">
        <f>'[2]Selection of Method'!C19</f>
        <v>0</v>
      </c>
      <c r="C34" s="1875">
        <f>'[2]Selection of Method'!D19</f>
        <v>0</v>
      </c>
      <c r="D34" s="1874">
        <f>'[2]Selection of Method'!E19</f>
        <v>0</v>
      </c>
      <c r="E34" s="1876" t="e">
        <f t="shared" ca="1" si="0"/>
        <v>#DIV/0!</v>
      </c>
      <c r="F34" s="1874" t="e">
        <f t="shared" ca="1" si="1"/>
        <v>#DIV/0!</v>
      </c>
      <c r="G34" s="1877">
        <f>'[2]Selection of Method'!G19</f>
        <v>0</v>
      </c>
      <c r="H34" s="1879" t="e">
        <f t="shared" ca="1" si="2"/>
        <v>#DIV/0!</v>
      </c>
      <c r="I34" s="1877" t="e">
        <f t="shared" ca="1" si="3"/>
        <v>#DIV/0!</v>
      </c>
      <c r="J34" s="2072"/>
      <c r="K34" s="1868"/>
    </row>
    <row r="35" spans="1:11">
      <c r="A35" s="1858">
        <v>18</v>
      </c>
      <c r="B35" s="1874">
        <f>'[2]Selection of Method'!C20</f>
        <v>0</v>
      </c>
      <c r="C35" s="1875">
        <f>'[2]Selection of Method'!D20</f>
        <v>0</v>
      </c>
      <c r="D35" s="1874">
        <f>'[2]Selection of Method'!E20</f>
        <v>0</v>
      </c>
      <c r="E35" s="1876" t="e">
        <f t="shared" ca="1" si="0"/>
        <v>#DIV/0!</v>
      </c>
      <c r="F35" s="1874" t="e">
        <f t="shared" ca="1" si="1"/>
        <v>#DIV/0!</v>
      </c>
      <c r="G35" s="1877">
        <f>'[2]Selection of Method'!G20</f>
        <v>0</v>
      </c>
      <c r="H35" s="1879" t="e">
        <f t="shared" ca="1" si="2"/>
        <v>#DIV/0!</v>
      </c>
      <c r="I35" s="1877" t="e">
        <f t="shared" ca="1" si="3"/>
        <v>#DIV/0!</v>
      </c>
      <c r="J35" s="2072"/>
      <c r="K35" s="1868"/>
    </row>
    <row r="36" spans="1:11">
      <c r="A36" s="1858">
        <v>19</v>
      </c>
      <c r="B36" s="1874">
        <f>'[2]Selection of Method'!C21</f>
        <v>0</v>
      </c>
      <c r="C36" s="1875">
        <f>'[2]Selection of Method'!D21</f>
        <v>0</v>
      </c>
      <c r="D36" s="1874">
        <f>'[2]Selection of Method'!E21</f>
        <v>0</v>
      </c>
      <c r="E36" s="1876" t="e">
        <f t="shared" ca="1" si="0"/>
        <v>#DIV/0!</v>
      </c>
      <c r="F36" s="1874" t="e">
        <f t="shared" ca="1" si="1"/>
        <v>#DIV/0!</v>
      </c>
      <c r="G36" s="1877">
        <f>'[2]Selection of Method'!G21</f>
        <v>0</v>
      </c>
      <c r="H36" s="1879" t="e">
        <f t="shared" ca="1" si="2"/>
        <v>#DIV/0!</v>
      </c>
      <c r="I36" s="1877" t="e">
        <f t="shared" ca="1" si="3"/>
        <v>#DIV/0!</v>
      </c>
      <c r="J36" s="2073"/>
      <c r="K36" s="1868"/>
    </row>
    <row r="37" spans="1:11">
      <c r="A37" s="1858">
        <v>20</v>
      </c>
      <c r="B37" s="1859"/>
      <c r="C37" s="2074" t="s">
        <v>1586</v>
      </c>
      <c r="D37" s="2074"/>
      <c r="E37" s="2074"/>
      <c r="F37" s="2074"/>
      <c r="G37" s="2074"/>
      <c r="H37" s="2074"/>
      <c r="I37" s="2074"/>
      <c r="J37" s="1880" t="e">
        <f ca="1">SUM(I27:I36)</f>
        <v>#DIV/0!</v>
      </c>
    </row>
    <row r="38" spans="1:11">
      <c r="A38" s="1858">
        <v>21</v>
      </c>
      <c r="B38" s="1859"/>
      <c r="C38" s="2054" t="s">
        <v>1587</v>
      </c>
      <c r="D38" s="2054"/>
      <c r="E38" s="2054"/>
      <c r="F38" s="2054"/>
      <c r="G38" s="2054"/>
      <c r="H38" s="2054"/>
      <c r="I38" s="2054"/>
      <c r="J38" s="1862">
        <f>IF(J18="no",0,IF(J18="yes",J17,"Error"))</f>
        <v>0</v>
      </c>
    </row>
    <row r="39" spans="1:11">
      <c r="A39" s="1858">
        <v>22</v>
      </c>
      <c r="B39" s="1859"/>
      <c r="C39" s="2055" t="s">
        <v>1588</v>
      </c>
      <c r="D39" s="2055"/>
      <c r="E39" s="2055"/>
      <c r="F39" s="2055"/>
      <c r="G39" s="2055"/>
      <c r="H39" s="2055"/>
      <c r="I39" s="2055"/>
      <c r="J39" s="1881" t="e">
        <f ca="1">J37+J38</f>
        <v>#DIV/0!</v>
      </c>
    </row>
    <row r="40" spans="1:11">
      <c r="A40" s="2059"/>
      <c r="B40" s="2060"/>
      <c r="C40" s="2060"/>
      <c r="D40" s="2060"/>
      <c r="E40" s="2060"/>
      <c r="F40" s="2060"/>
      <c r="G40" s="2060"/>
      <c r="H40" s="2060"/>
      <c r="I40" s="2060"/>
      <c r="J40" s="1857"/>
    </row>
    <row r="41" spans="1:11">
      <c r="A41" s="2052" t="s">
        <v>1589</v>
      </c>
      <c r="B41" s="2053"/>
      <c r="C41" s="2053"/>
      <c r="D41" s="2053"/>
      <c r="E41" s="2053"/>
      <c r="F41" s="2053"/>
      <c r="G41" s="2053"/>
      <c r="H41" s="2053"/>
      <c r="I41" s="2053"/>
      <c r="J41" s="1857"/>
    </row>
    <row r="42" spans="1:11" ht="45">
      <c r="A42" s="1869"/>
      <c r="B42" s="1871" t="s">
        <v>1620</v>
      </c>
      <c r="C42" s="1870" t="s">
        <v>1590</v>
      </c>
      <c r="D42" s="2061" t="s">
        <v>1591</v>
      </c>
      <c r="E42" s="2062"/>
      <c r="F42" s="2063" t="s">
        <v>1592</v>
      </c>
      <c r="G42" s="2064"/>
      <c r="H42" s="2065"/>
      <c r="I42" s="2066"/>
      <c r="J42" s="2071"/>
    </row>
    <row r="43" spans="1:11">
      <c r="A43" s="1858">
        <v>23</v>
      </c>
      <c r="B43" s="1874">
        <v>1</v>
      </c>
      <c r="C43" s="1857" t="s">
        <v>1593</v>
      </c>
      <c r="D43" s="2056">
        <f>'[2]Standard Method'!D51</f>
        <v>153314.4</v>
      </c>
      <c r="E43" s="2057"/>
      <c r="F43" s="2058">
        <f>B43*D43</f>
        <v>153314.4</v>
      </c>
      <c r="G43" s="2058"/>
      <c r="H43" s="2067"/>
      <c r="I43" s="2068"/>
      <c r="J43" s="2072"/>
    </row>
    <row r="44" spans="1:11">
      <c r="A44" s="1858">
        <v>24</v>
      </c>
      <c r="B44" s="1882">
        <v>1</v>
      </c>
      <c r="C44" s="1857" t="s">
        <v>1594</v>
      </c>
      <c r="D44" s="2056">
        <f>'[2]Standard Method'!D52</f>
        <v>175752</v>
      </c>
      <c r="E44" s="2057"/>
      <c r="F44" s="2058">
        <f>B44*D44</f>
        <v>175752</v>
      </c>
      <c r="G44" s="2058"/>
      <c r="H44" s="2067"/>
      <c r="I44" s="2068"/>
      <c r="J44" s="2072"/>
    </row>
    <row r="45" spans="1:11">
      <c r="A45" s="1858">
        <v>25</v>
      </c>
      <c r="B45" s="1874">
        <v>1</v>
      </c>
      <c r="C45" s="1857" t="s">
        <v>1595</v>
      </c>
      <c r="D45" s="2056">
        <f>'[2]Standard Method'!D53</f>
        <v>213717.6</v>
      </c>
      <c r="E45" s="2057"/>
      <c r="F45" s="2058">
        <f>B45*D45</f>
        <v>213717.6</v>
      </c>
      <c r="G45" s="2058"/>
      <c r="H45" s="2067"/>
      <c r="I45" s="2068"/>
      <c r="J45" s="2072"/>
    </row>
    <row r="46" spans="1:11">
      <c r="A46" s="1858">
        <v>26</v>
      </c>
      <c r="B46" s="1874">
        <v>1</v>
      </c>
      <c r="C46" s="1857" t="s">
        <v>1596</v>
      </c>
      <c r="D46" s="2056">
        <f>'[2]Standard Method'!D54</f>
        <v>276482.39999999997</v>
      </c>
      <c r="E46" s="2057"/>
      <c r="F46" s="2058">
        <f>B46*D46</f>
        <v>276482.39999999997</v>
      </c>
      <c r="G46" s="2058"/>
      <c r="H46" s="2067"/>
      <c r="I46" s="2068"/>
      <c r="J46" s="2072"/>
    </row>
    <row r="47" spans="1:11">
      <c r="A47" s="1858">
        <v>27</v>
      </c>
      <c r="B47" s="1874">
        <v>1</v>
      </c>
      <c r="C47" s="1857" t="s">
        <v>1597</v>
      </c>
      <c r="D47" s="2056">
        <f>'[2]Standard Method'!D55</f>
        <v>303489.59999999998</v>
      </c>
      <c r="E47" s="2057"/>
      <c r="F47" s="2058">
        <f>B47*D47</f>
        <v>303489.59999999998</v>
      </c>
      <c r="G47" s="2058"/>
      <c r="H47" s="2069"/>
      <c r="I47" s="2070"/>
      <c r="J47" s="2072"/>
    </row>
    <row r="48" spans="1:11">
      <c r="A48" s="1858">
        <v>28</v>
      </c>
      <c r="B48" s="1859"/>
      <c r="C48" s="2055" t="s">
        <v>1598</v>
      </c>
      <c r="D48" s="2055"/>
      <c r="E48" s="2055"/>
      <c r="F48" s="2055"/>
      <c r="G48" s="2055"/>
      <c r="H48" s="2055"/>
      <c r="I48" s="2055"/>
      <c r="J48" s="1883">
        <f>SUM(F43:F47)</f>
        <v>1122756</v>
      </c>
    </row>
    <row r="49" spans="1:10">
      <c r="A49" s="2059"/>
      <c r="B49" s="2060"/>
      <c r="C49" s="2060"/>
      <c r="D49" s="2060"/>
      <c r="E49" s="2060"/>
      <c r="F49" s="2060"/>
      <c r="G49" s="2060"/>
      <c r="H49" s="2060"/>
      <c r="I49" s="2060"/>
      <c r="J49" s="1857"/>
    </row>
    <row r="50" spans="1:10">
      <c r="A50" s="2052" t="s">
        <v>1599</v>
      </c>
      <c r="B50" s="2053"/>
      <c r="C50" s="2053"/>
      <c r="D50" s="2053"/>
      <c r="E50" s="2053"/>
      <c r="F50" s="2053"/>
      <c r="G50" s="2053"/>
      <c r="H50" s="2053"/>
      <c r="I50" s="2053"/>
      <c r="J50" s="1857"/>
    </row>
    <row r="51" spans="1:10">
      <c r="A51" s="1858">
        <v>29</v>
      </c>
      <c r="B51" s="1859"/>
      <c r="C51" s="2054" t="s">
        <v>1600</v>
      </c>
      <c r="D51" s="2054"/>
      <c r="E51" s="2054"/>
      <c r="F51" s="2054"/>
      <c r="G51" s="2054"/>
      <c r="H51" s="2054"/>
      <c r="I51" s="2054"/>
      <c r="J51" s="1862">
        <f>J12</f>
        <v>0</v>
      </c>
    </row>
    <row r="52" spans="1:10">
      <c r="A52" s="1858">
        <v>30</v>
      </c>
      <c r="B52" s="1859"/>
      <c r="C52" s="2054" t="s">
        <v>1601</v>
      </c>
      <c r="D52" s="2054"/>
      <c r="E52" s="2054"/>
      <c r="F52" s="2054"/>
      <c r="G52" s="2054"/>
      <c r="H52" s="2054"/>
      <c r="I52" s="2054"/>
      <c r="J52" s="1862" t="e">
        <f ca="1">J39</f>
        <v>#DIV/0!</v>
      </c>
    </row>
    <row r="53" spans="1:10">
      <c r="A53" s="1858">
        <v>31</v>
      </c>
      <c r="B53" s="1859"/>
      <c r="C53" s="2054" t="s">
        <v>1602</v>
      </c>
      <c r="D53" s="2054"/>
      <c r="E53" s="2054"/>
      <c r="F53" s="2054"/>
      <c r="G53" s="2054"/>
      <c r="H53" s="2054"/>
      <c r="I53" s="2054"/>
      <c r="J53" s="1862">
        <f>J48</f>
        <v>1122756</v>
      </c>
    </row>
    <row r="54" spans="1:10">
      <c r="A54" s="1858">
        <v>32</v>
      </c>
      <c r="B54" s="1859"/>
      <c r="C54" s="2055" t="s">
        <v>1603</v>
      </c>
      <c r="D54" s="2055"/>
      <c r="E54" s="2055"/>
      <c r="F54" s="2055"/>
      <c r="G54" s="2055"/>
      <c r="H54" s="2055"/>
      <c r="I54" s="2055"/>
      <c r="J54" s="1881" t="e">
        <f ca="1">IF(ISBLANK(J12),MIN(J52:J53),MIN(J51:J53))</f>
        <v>#DIV/0!</v>
      </c>
    </row>
    <row r="60" spans="1:10" hidden="1">
      <c r="E60" s="1848" t="s">
        <v>1621</v>
      </c>
    </row>
    <row r="61" spans="1:10" hidden="1">
      <c r="D61" s="1848"/>
      <c r="E61" s="1884" t="s">
        <v>1622</v>
      </c>
      <c r="F61" s="1884" t="s">
        <v>1623</v>
      </c>
      <c r="G61" s="1884" t="s">
        <v>1624</v>
      </c>
      <c r="H61" s="1884" t="s">
        <v>1625</v>
      </c>
      <c r="I61" s="1884" t="s">
        <v>1626</v>
      </c>
    </row>
    <row r="62" spans="1:10" hidden="1">
      <c r="D62" s="1848" t="s">
        <v>1627</v>
      </c>
      <c r="E62" s="1885">
        <v>0</v>
      </c>
      <c r="F62" s="1885">
        <v>1</v>
      </c>
      <c r="G62" s="1885">
        <v>2</v>
      </c>
      <c r="H62" s="1885">
        <v>3</v>
      </c>
      <c r="I62" s="1885">
        <v>4</v>
      </c>
    </row>
    <row r="63" spans="1:10" hidden="1">
      <c r="D63" s="1848"/>
      <c r="E63" s="1884" t="e">
        <f t="shared" ref="E63:I72" ca="1" si="4">IF($D27=E$62,$F27,0)</f>
        <v>#DIV/0!</v>
      </c>
      <c r="F63" s="1884">
        <f t="shared" si="4"/>
        <v>0</v>
      </c>
      <c r="G63" s="1884">
        <f t="shared" si="4"/>
        <v>0</v>
      </c>
      <c r="H63" s="1884">
        <f t="shared" si="4"/>
        <v>0</v>
      </c>
      <c r="I63" s="1884">
        <f t="shared" si="4"/>
        <v>0</v>
      </c>
    </row>
    <row r="64" spans="1:10" hidden="1">
      <c r="D64" s="1848"/>
      <c r="E64" s="1884">
        <f t="shared" si="4"/>
        <v>0</v>
      </c>
      <c r="F64" s="1884" t="e">
        <f t="shared" ca="1" si="4"/>
        <v>#DIV/0!</v>
      </c>
      <c r="G64" s="1884">
        <f t="shared" si="4"/>
        <v>0</v>
      </c>
      <c r="H64" s="1884">
        <f t="shared" si="4"/>
        <v>0</v>
      </c>
      <c r="I64" s="1884">
        <f t="shared" si="4"/>
        <v>0</v>
      </c>
    </row>
    <row r="65" spans="4:9" hidden="1">
      <c r="D65" s="1848"/>
      <c r="E65" s="1884">
        <f>IF($D29=E$62,$F29,0)</f>
        <v>0</v>
      </c>
      <c r="F65" s="1884">
        <f>IF($D29=F$62,$F29,0)</f>
        <v>0</v>
      </c>
      <c r="G65" s="1884" t="e">
        <f ca="1">IF($D29=G$62,$F29,0)</f>
        <v>#DIV/0!</v>
      </c>
      <c r="H65" s="1884">
        <f>IF($D29=H$62,$F29,0)</f>
        <v>0</v>
      </c>
      <c r="I65" s="1884">
        <f>IF($D29=I$62,$F29,0)</f>
        <v>0</v>
      </c>
    </row>
    <row r="66" spans="4:9" hidden="1">
      <c r="D66" s="1848"/>
      <c r="E66" s="1884">
        <f t="shared" si="4"/>
        <v>0</v>
      </c>
      <c r="F66" s="1884">
        <f t="shared" si="4"/>
        <v>0</v>
      </c>
      <c r="G66" s="1884">
        <f t="shared" si="4"/>
        <v>0</v>
      </c>
      <c r="H66" s="1884" t="e">
        <f t="shared" ca="1" si="4"/>
        <v>#DIV/0!</v>
      </c>
      <c r="I66" s="1884">
        <f t="shared" si="4"/>
        <v>0</v>
      </c>
    </row>
    <row r="67" spans="4:9" hidden="1">
      <c r="D67" s="1848"/>
      <c r="E67" s="1884">
        <f t="shared" si="4"/>
        <v>0</v>
      </c>
      <c r="F67" s="1884">
        <f t="shared" si="4"/>
        <v>0</v>
      </c>
      <c r="G67" s="1884">
        <f t="shared" si="4"/>
        <v>0</v>
      </c>
      <c r="H67" s="1884">
        <f t="shared" si="4"/>
        <v>0</v>
      </c>
      <c r="I67" s="1884" t="e">
        <f t="shared" ca="1" si="4"/>
        <v>#DIV/0!</v>
      </c>
    </row>
    <row r="68" spans="4:9" hidden="1">
      <c r="D68" s="1848"/>
      <c r="E68" s="1884" t="e">
        <f ca="1">IF($D32=E$62,$F32,0)</f>
        <v>#DIV/0!</v>
      </c>
      <c r="F68" s="1884">
        <f>IF($D32=F$62,$F32,0)</f>
        <v>0</v>
      </c>
      <c r="G68" s="1884">
        <f>IF($D32=G$62,$F32,0)</f>
        <v>0</v>
      </c>
      <c r="H68" s="1884">
        <f>IF($D32=H$62,$F32,0)</f>
        <v>0</v>
      </c>
      <c r="I68" s="1884">
        <f>IF($D32=I$62,$F32,0)</f>
        <v>0</v>
      </c>
    </row>
    <row r="69" spans="4:9" hidden="1">
      <c r="D69" s="1848"/>
      <c r="E69" s="1884" t="e">
        <f t="shared" ca="1" si="4"/>
        <v>#DIV/0!</v>
      </c>
      <c r="F69" s="1884">
        <f t="shared" si="4"/>
        <v>0</v>
      </c>
      <c r="G69" s="1884">
        <f t="shared" si="4"/>
        <v>0</v>
      </c>
      <c r="H69" s="1884">
        <f t="shared" si="4"/>
        <v>0</v>
      </c>
      <c r="I69" s="1884">
        <f t="shared" si="4"/>
        <v>0</v>
      </c>
    </row>
    <row r="70" spans="4:9" hidden="1">
      <c r="D70" s="1848"/>
      <c r="E70" s="1884" t="e">
        <f t="shared" ca="1" si="4"/>
        <v>#DIV/0!</v>
      </c>
      <c r="F70" s="1884">
        <f t="shared" si="4"/>
        <v>0</v>
      </c>
      <c r="G70" s="1884">
        <f t="shared" si="4"/>
        <v>0</v>
      </c>
      <c r="H70" s="1884">
        <f t="shared" si="4"/>
        <v>0</v>
      </c>
      <c r="I70" s="1884">
        <f t="shared" si="4"/>
        <v>0</v>
      </c>
    </row>
    <row r="71" spans="4:9" hidden="1">
      <c r="D71" s="1848"/>
      <c r="E71" s="1884" t="e">
        <f t="shared" ca="1" si="4"/>
        <v>#DIV/0!</v>
      </c>
      <c r="F71" s="1884">
        <f t="shared" si="4"/>
        <v>0</v>
      </c>
      <c r="G71" s="1884">
        <f t="shared" si="4"/>
        <v>0</v>
      </c>
      <c r="H71" s="1884">
        <f t="shared" si="4"/>
        <v>0</v>
      </c>
      <c r="I71" s="1884">
        <f t="shared" si="4"/>
        <v>0</v>
      </c>
    </row>
    <row r="72" spans="4:9" hidden="1">
      <c r="D72" s="1848"/>
      <c r="E72" s="1884" t="e">
        <f t="shared" ca="1" si="4"/>
        <v>#DIV/0!</v>
      </c>
      <c r="F72" s="1884">
        <f t="shared" si="4"/>
        <v>0</v>
      </c>
      <c r="G72" s="1884">
        <f t="shared" si="4"/>
        <v>0</v>
      </c>
      <c r="H72" s="1884">
        <f t="shared" si="4"/>
        <v>0</v>
      </c>
      <c r="I72" s="1884">
        <f t="shared" si="4"/>
        <v>0</v>
      </c>
    </row>
    <row r="73" spans="4:9" hidden="1">
      <c r="D73" s="1848"/>
      <c r="E73" s="1884"/>
      <c r="F73" s="1884"/>
      <c r="G73" s="1884"/>
      <c r="H73" s="1884"/>
      <c r="I73" s="1884"/>
    </row>
    <row r="74" spans="4:9" hidden="1">
      <c r="D74" s="1886" t="s">
        <v>1628</v>
      </c>
      <c r="E74" s="1887" t="e">
        <f ca="1">SUM(E63:E73)</f>
        <v>#DIV/0!</v>
      </c>
      <c r="F74" s="1887" t="e">
        <f ca="1">SUM(F63:F73)</f>
        <v>#DIV/0!</v>
      </c>
      <c r="G74" s="1887" t="e">
        <f ca="1">SUM(G63:G73)</f>
        <v>#DIV/0!</v>
      </c>
      <c r="H74" s="1887" t="e">
        <f ca="1">SUM(H63:H73)</f>
        <v>#DIV/0!</v>
      </c>
      <c r="I74" s="1887" t="e">
        <f ca="1">SUM(I63:I73)</f>
        <v>#DIV/0!</v>
      </c>
    </row>
    <row r="75" spans="4:9">
      <c r="D75" s="1848"/>
    </row>
    <row r="76" spans="4:9">
      <c r="D76" s="1848"/>
    </row>
  </sheetData>
  <sheetProtection algorithmName="SHA-512" hashValue="F4vr5g/Eo6xtrKyXNCqnUtlYFowfXWw9Via/njvQM+qxQmY0wfKvB5A+4Dwcn6qIp5LMxB6ZfvuMedH6he618A==" saltValue="p2Ev02/74zaPbLDqPZQFNg==" spinCount="100000" sheet="1" objects="1" scenarios="1"/>
  <mergeCells count="51">
    <mergeCell ref="C6:D6"/>
    <mergeCell ref="A1:D1"/>
    <mergeCell ref="A2:G2"/>
    <mergeCell ref="A3:G3"/>
    <mergeCell ref="C4:D4"/>
    <mergeCell ref="C5:D5"/>
    <mergeCell ref="A19:I19"/>
    <mergeCell ref="A8:I8"/>
    <mergeCell ref="C9:I9"/>
    <mergeCell ref="A10:I10"/>
    <mergeCell ref="A11:I11"/>
    <mergeCell ref="C12:I12"/>
    <mergeCell ref="A13:I13"/>
    <mergeCell ref="A14:I14"/>
    <mergeCell ref="C15:I15"/>
    <mergeCell ref="C16:I16"/>
    <mergeCell ref="C17:I17"/>
    <mergeCell ref="C18:I18"/>
    <mergeCell ref="A41:I41"/>
    <mergeCell ref="C20:I20"/>
    <mergeCell ref="C21:I21"/>
    <mergeCell ref="A22:I22"/>
    <mergeCell ref="C23:I23"/>
    <mergeCell ref="A24:I24"/>
    <mergeCell ref="A25:I25"/>
    <mergeCell ref="J26:J36"/>
    <mergeCell ref="C37:I37"/>
    <mergeCell ref="C38:I38"/>
    <mergeCell ref="C39:I39"/>
    <mergeCell ref="A40:I40"/>
    <mergeCell ref="A49:I49"/>
    <mergeCell ref="D42:E42"/>
    <mergeCell ref="F42:G42"/>
    <mergeCell ref="H42:I47"/>
    <mergeCell ref="J42:J47"/>
    <mergeCell ref="D43:E43"/>
    <mergeCell ref="F43:G43"/>
    <mergeCell ref="D44:E44"/>
    <mergeCell ref="F44:G44"/>
    <mergeCell ref="D45:E45"/>
    <mergeCell ref="F45:G45"/>
    <mergeCell ref="D46:E46"/>
    <mergeCell ref="F46:G46"/>
    <mergeCell ref="D47:E47"/>
    <mergeCell ref="F47:G47"/>
    <mergeCell ref="C48:I48"/>
    <mergeCell ref="A50:I50"/>
    <mergeCell ref="C51:I51"/>
    <mergeCell ref="C52:I52"/>
    <mergeCell ref="C53:I53"/>
    <mergeCell ref="C54:I54"/>
  </mergeCells>
  <dataValidations count="1">
    <dataValidation type="list" showInputMessage="1" showErrorMessage="1" promptTitle="Response Required" prompt="To treat relocation as common cost of project, choose No.  To treat relocation as a cost exclusive to the HOME-assisted units, enter Yes." sqref="J18" xr:uid="{8F466555-F173-4643-973D-F1D006A68A29}">
      <formula1>"No,Yes"</formula1>
    </dataValidation>
  </dataValidations>
  <hyperlinks>
    <hyperlink ref="A1:D1" location="'Selection of Method'!A1" display="Return to Selection of Method &amp; Project Information Page" xr:uid="{D44970ED-6CCB-4A63-959B-BF4E839476E8}"/>
  </hyperlinks>
  <pageMargins left="0.7" right="0.7" top="0.75" bottom="0.75" header="0.3" footer="0.3"/>
  <pageSetup scale="7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766A8-0F64-412E-8B10-62C40E60718E}">
  <sheetPr>
    <pageSetUpPr fitToPage="1"/>
  </sheetPr>
  <dimension ref="A1:J63"/>
  <sheetViews>
    <sheetView zoomScale="85" zoomScaleNormal="85" workbookViewId="0">
      <selection activeCell="E2" sqref="E2"/>
    </sheetView>
  </sheetViews>
  <sheetFormatPr defaultRowHeight="15"/>
  <cols>
    <col min="1" max="1" width="4.5703125" style="1812" customWidth="1"/>
    <col min="2" max="2" width="9.7109375" style="1812" customWidth="1"/>
    <col min="3" max="3" width="24.5703125" style="1812" bestFit="1" customWidth="1"/>
    <col min="4" max="4" width="16.5703125" style="1847" customWidth="1"/>
    <col min="5" max="5" width="7.42578125" style="1812" customWidth="1"/>
    <col min="6" max="7" width="9.140625" style="1812"/>
    <col min="8" max="8" width="13.42578125" style="1812" customWidth="1"/>
    <col min="9" max="9" width="10" style="1812" bestFit="1" customWidth="1"/>
    <col min="10" max="16384" width="9.140625" style="1812"/>
  </cols>
  <sheetData>
    <row r="1" spans="1:9" ht="19.5">
      <c r="A1" s="2077" t="s">
        <v>1562</v>
      </c>
      <c r="B1" s="2077"/>
      <c r="C1" s="2077"/>
      <c r="D1" s="2077"/>
      <c r="F1" s="1813" t="s">
        <v>1563</v>
      </c>
    </row>
    <row r="2" spans="1:9" ht="18.75">
      <c r="A2" s="2088" t="s">
        <v>1564</v>
      </c>
      <c r="B2" s="2088"/>
      <c r="C2" s="2088"/>
      <c r="D2" s="2088"/>
    </row>
    <row r="3" spans="1:9">
      <c r="A3" s="1814" t="s">
        <v>62</v>
      </c>
      <c r="B3" s="1815"/>
      <c r="C3" s="2089" t="str">
        <f>Setup!D7</f>
        <v>Enter Project Name Here</v>
      </c>
      <c r="D3" s="2090"/>
    </row>
    <row r="4" spans="1:9">
      <c r="A4" s="1816" t="s">
        <v>1565</v>
      </c>
      <c r="C4" s="2091">
        <f>Setup!D8</f>
        <v>0</v>
      </c>
      <c r="D4" s="2092"/>
    </row>
    <row r="5" spans="1:9">
      <c r="A5" s="1817" t="s">
        <v>1566</v>
      </c>
      <c r="B5" s="1818"/>
      <c r="C5" s="2093" t="str">
        <f>ReviewDate</f>
        <v>01.24.22</v>
      </c>
      <c r="D5" s="2094"/>
    </row>
    <row r="6" spans="1:9">
      <c r="A6" s="1818"/>
      <c r="B6" s="1818"/>
      <c r="C6" s="1818"/>
      <c r="D6" s="1819"/>
    </row>
    <row r="7" spans="1:9">
      <c r="A7" s="2085" t="s">
        <v>1567</v>
      </c>
      <c r="B7" s="2086"/>
      <c r="C7" s="2086"/>
      <c r="D7" s="2086"/>
      <c r="E7" s="2086"/>
      <c r="F7" s="2086"/>
      <c r="G7" s="2087"/>
      <c r="H7" s="1820"/>
    </row>
    <row r="8" spans="1:9">
      <c r="A8" s="1821">
        <v>1</v>
      </c>
      <c r="B8" s="1822"/>
      <c r="C8" s="2097" t="s">
        <v>1568</v>
      </c>
      <c r="D8" s="2097"/>
      <c r="E8" s="2097"/>
      <c r="F8" s="2097"/>
      <c r="G8" s="2098"/>
      <c r="H8" s="1823">
        <f>Setup!D39</f>
        <v>100000</v>
      </c>
      <c r="I8" s="1824" t="str">
        <f>IF(H8=TotSqFt,"","Sq. Ft. entered does NOT align with calculated amount on Selection of Method worksheet")</f>
        <v>Sq. Ft. entered does NOT align with calculated amount on Selection of Method worksheet</v>
      </c>
    </row>
    <row r="9" spans="1:9">
      <c r="A9" s="2099"/>
      <c r="B9" s="2095"/>
      <c r="C9" s="2095"/>
      <c r="D9" s="2095"/>
      <c r="E9" s="2095"/>
      <c r="F9" s="2095"/>
      <c r="G9" s="2096"/>
      <c r="H9" s="1820"/>
    </row>
    <row r="10" spans="1:9">
      <c r="A10" s="2085" t="s">
        <v>1569</v>
      </c>
      <c r="B10" s="2086"/>
      <c r="C10" s="2086"/>
      <c r="D10" s="2086"/>
      <c r="E10" s="2086"/>
      <c r="F10" s="2086"/>
      <c r="G10" s="2087"/>
      <c r="H10" s="1820"/>
    </row>
    <row r="11" spans="1:9">
      <c r="A11" s="1821">
        <v>2</v>
      </c>
      <c r="B11" s="1825"/>
      <c r="C11" s="2100" t="s">
        <v>1570</v>
      </c>
      <c r="D11" s="2100"/>
      <c r="E11" s="2100"/>
      <c r="F11" s="2100"/>
      <c r="G11" s="2101"/>
      <c r="H11" s="1826"/>
    </row>
    <row r="12" spans="1:9">
      <c r="A12" s="2099"/>
      <c r="B12" s="2095"/>
      <c r="C12" s="2095"/>
      <c r="D12" s="2095"/>
      <c r="E12" s="2095"/>
      <c r="F12" s="2095"/>
      <c r="G12" s="2096"/>
      <c r="H12" s="1820"/>
    </row>
    <row r="13" spans="1:9">
      <c r="A13" s="2085" t="s">
        <v>1571</v>
      </c>
      <c r="B13" s="2086"/>
      <c r="C13" s="2086"/>
      <c r="D13" s="2086"/>
      <c r="E13" s="2086"/>
      <c r="F13" s="2086"/>
      <c r="G13" s="2087"/>
      <c r="H13" s="1820"/>
    </row>
    <row r="14" spans="1:9">
      <c r="A14" s="1821">
        <v>3</v>
      </c>
      <c r="B14" s="1822"/>
      <c r="C14" s="2097" t="s">
        <v>1572</v>
      </c>
      <c r="D14" s="2097"/>
      <c r="E14" s="2097"/>
      <c r="F14" s="2097"/>
      <c r="G14" s="2098"/>
      <c r="H14" s="1823">
        <f ca="1">DevCosts!D133</f>
        <v>0</v>
      </c>
    </row>
    <row r="15" spans="1:9">
      <c r="A15" s="1821">
        <v>4</v>
      </c>
      <c r="B15" s="1822"/>
      <c r="C15" s="2097" t="s">
        <v>1573</v>
      </c>
      <c r="D15" s="2097"/>
      <c r="E15" s="2097"/>
      <c r="F15" s="2097"/>
      <c r="G15" s="2098"/>
      <c r="H15" s="1823" t="e">
        <f ca="1">Exhibits!V21</f>
        <v>#DIV/0!</v>
      </c>
    </row>
    <row r="16" spans="1:9">
      <c r="A16" s="1821">
        <v>5</v>
      </c>
      <c r="B16" s="1822"/>
      <c r="C16" s="2097" t="s">
        <v>1574</v>
      </c>
      <c r="D16" s="2097"/>
      <c r="E16" s="2097"/>
      <c r="F16" s="2097"/>
      <c r="G16" s="2098"/>
      <c r="H16" s="1823">
        <v>0</v>
      </c>
    </row>
    <row r="17" spans="1:10">
      <c r="A17" s="1821">
        <v>6</v>
      </c>
      <c r="B17" s="1822"/>
      <c r="C17" s="2097" t="s">
        <v>1575</v>
      </c>
      <c r="D17" s="2097"/>
      <c r="E17" s="2097"/>
      <c r="F17" s="2097"/>
      <c r="G17" s="2098"/>
      <c r="H17" s="1823">
        <f>DevCosts!D113</f>
        <v>0</v>
      </c>
    </row>
    <row r="18" spans="1:10">
      <c r="A18" s="1821">
        <v>7</v>
      </c>
      <c r="B18" s="1822"/>
      <c r="C18" s="2097" t="s">
        <v>1576</v>
      </c>
      <c r="D18" s="2097"/>
      <c r="E18" s="2097"/>
      <c r="F18" s="2097"/>
      <c r="G18" s="2098"/>
      <c r="H18" s="1827" t="s">
        <v>130</v>
      </c>
      <c r="I18" s="1824" t="str">
        <f>IF(ISBLANK(H18),"Error, response required.","")</f>
        <v/>
      </c>
    </row>
    <row r="19" spans="1:10">
      <c r="A19" s="1828"/>
      <c r="B19" s="1822"/>
      <c r="C19" s="2095"/>
      <c r="D19" s="2095"/>
      <c r="E19" s="2095"/>
      <c r="F19" s="2095"/>
      <c r="G19" s="2096"/>
      <c r="H19" s="1820"/>
    </row>
    <row r="20" spans="1:10">
      <c r="A20" s="1821">
        <v>8</v>
      </c>
      <c r="B20" s="1822"/>
      <c r="C20" s="2097" t="s">
        <v>1577</v>
      </c>
      <c r="D20" s="2097"/>
      <c r="E20" s="2097"/>
      <c r="F20" s="2097"/>
      <c r="G20" s="2098"/>
      <c r="H20" s="1829" t="e">
        <f ca="1">IF(H18="No",H14-H15-H16,IF(H18="Yes",H14-H15-H16-H17,"Error"))</f>
        <v>#DIV/0!</v>
      </c>
    </row>
    <row r="21" spans="1:10">
      <c r="A21" s="1821">
        <v>9</v>
      </c>
      <c r="B21" s="1822"/>
      <c r="C21" s="2097" t="s">
        <v>1578</v>
      </c>
      <c r="D21" s="2097"/>
      <c r="E21" s="2097"/>
      <c r="F21" s="2097"/>
      <c r="G21" s="2098"/>
      <c r="H21" s="1830" t="e">
        <f ca="1">ROUNDDOWN(H20/H8,2)</f>
        <v>#DIV/0!</v>
      </c>
    </row>
    <row r="22" spans="1:10">
      <c r="A22" s="2107" t="s">
        <v>1579</v>
      </c>
      <c r="B22" s="2108"/>
      <c r="C22" s="2108"/>
      <c r="D22" s="2108"/>
      <c r="E22" s="2108"/>
      <c r="F22" s="2108"/>
      <c r="G22" s="2109"/>
      <c r="H22" s="1820"/>
    </row>
    <row r="23" spans="1:10" ht="30">
      <c r="A23" s="1828"/>
      <c r="B23" s="1831" t="s">
        <v>1580</v>
      </c>
      <c r="C23" s="2110" t="s">
        <v>1581</v>
      </c>
      <c r="D23" s="2110"/>
      <c r="E23" s="1832" t="s">
        <v>1582</v>
      </c>
      <c r="F23" s="1833" t="s">
        <v>1583</v>
      </c>
      <c r="G23" s="1832" t="s">
        <v>1584</v>
      </c>
      <c r="H23" s="2102"/>
      <c r="J23" s="1834"/>
    </row>
    <row r="24" spans="1:10">
      <c r="A24" s="1821">
        <v>10</v>
      </c>
      <c r="B24" s="1835">
        <f>'Units&amp;Income'!AV23</f>
        <v>0</v>
      </c>
      <c r="C24" s="2105" t="s">
        <v>1604</v>
      </c>
      <c r="D24" s="2105"/>
      <c r="E24" s="1835">
        <v>0</v>
      </c>
      <c r="F24" s="1823">
        <f>'Units&amp;Income'!C10</f>
        <v>500</v>
      </c>
      <c r="G24" s="1836" t="e">
        <f ca="1">ROUNDDOWN($H$21*F24,0)</f>
        <v>#DIV/0!</v>
      </c>
      <c r="H24" s="2103"/>
      <c r="I24" s="1837"/>
      <c r="J24" s="1837"/>
    </row>
    <row r="25" spans="1:10">
      <c r="A25" s="1821">
        <v>11</v>
      </c>
      <c r="B25" s="1835">
        <f>'Units&amp;Income'!AV37</f>
        <v>0</v>
      </c>
      <c r="C25" s="2106" t="s">
        <v>1605</v>
      </c>
      <c r="D25" s="2106"/>
      <c r="E25" s="1835">
        <v>1</v>
      </c>
      <c r="F25" s="1823">
        <f>'Units&amp;Income'!C24</f>
        <v>700</v>
      </c>
      <c r="G25" s="1836" t="e">
        <f t="shared" ref="G25:G43" ca="1" si="0">ROUNDDOWN($H$21*F25,0)</f>
        <v>#DIV/0!</v>
      </c>
      <c r="H25" s="2103"/>
      <c r="I25" s="1837"/>
      <c r="J25" s="1837"/>
    </row>
    <row r="26" spans="1:10">
      <c r="A26" s="1821">
        <v>12</v>
      </c>
      <c r="B26" s="1835">
        <f>'Units&amp;Income'!AV51</f>
        <v>0</v>
      </c>
      <c r="C26" s="2106" t="s">
        <v>1606</v>
      </c>
      <c r="D26" s="2106"/>
      <c r="E26" s="1835">
        <v>2</v>
      </c>
      <c r="F26" s="1823">
        <f>'Units&amp;Income'!C38</f>
        <v>950</v>
      </c>
      <c r="G26" s="1836" t="e">
        <f t="shared" ca="1" si="0"/>
        <v>#DIV/0!</v>
      </c>
      <c r="H26" s="2103"/>
      <c r="I26" s="1837"/>
      <c r="J26" s="1837"/>
    </row>
    <row r="27" spans="1:10">
      <c r="A27" s="1821">
        <v>13</v>
      </c>
      <c r="B27" s="1835">
        <f>'Units&amp;Income'!AV65</f>
        <v>0</v>
      </c>
      <c r="C27" s="2106" t="s">
        <v>1607</v>
      </c>
      <c r="D27" s="2106"/>
      <c r="E27" s="1835">
        <v>3</v>
      </c>
      <c r="F27" s="1823">
        <f>'Units&amp;Income'!C52</f>
        <v>1200</v>
      </c>
      <c r="G27" s="1836" t="e">
        <f t="shared" ca="1" si="0"/>
        <v>#DIV/0!</v>
      </c>
      <c r="H27" s="2103"/>
      <c r="I27" s="1837"/>
      <c r="J27" s="1837"/>
    </row>
    <row r="28" spans="1:10">
      <c r="A28" s="1821">
        <v>14</v>
      </c>
      <c r="B28" s="1835">
        <f>'Units&amp;Income'!AV79</f>
        <v>0</v>
      </c>
      <c r="C28" s="2106" t="s">
        <v>1608</v>
      </c>
      <c r="D28" s="2106"/>
      <c r="E28" s="1835">
        <v>4</v>
      </c>
      <c r="F28" s="1838">
        <f>'Units&amp;Income'!C66</f>
        <v>1400</v>
      </c>
      <c r="G28" s="1836" t="e">
        <f t="shared" ca="1" si="0"/>
        <v>#DIV/0!</v>
      </c>
      <c r="H28" s="2103"/>
      <c r="I28" s="1837"/>
      <c r="J28" s="1837"/>
    </row>
    <row r="29" spans="1:10">
      <c r="A29" s="1821">
        <v>15</v>
      </c>
      <c r="B29" s="1835"/>
      <c r="C29" s="2106"/>
      <c r="D29" s="2106"/>
      <c r="E29" s="1835"/>
      <c r="F29" s="1823"/>
      <c r="G29" s="1836" t="e">
        <f t="shared" ca="1" si="0"/>
        <v>#DIV/0!</v>
      </c>
      <c r="H29" s="2103"/>
      <c r="I29" s="1837"/>
      <c r="J29" s="1837"/>
    </row>
    <row r="30" spans="1:10" ht="15" customHeight="1">
      <c r="A30" s="1821">
        <v>16</v>
      </c>
      <c r="B30" s="1835"/>
      <c r="C30" s="2106"/>
      <c r="D30" s="2106"/>
      <c r="E30" s="1835"/>
      <c r="F30" s="1823"/>
      <c r="G30" s="1836" t="e">
        <f t="shared" ca="1" si="0"/>
        <v>#DIV/0!</v>
      </c>
      <c r="H30" s="2103"/>
      <c r="I30" s="1837"/>
      <c r="J30" s="1837"/>
    </row>
    <row r="31" spans="1:10" ht="15" customHeight="1">
      <c r="A31" s="1821">
        <v>17</v>
      </c>
      <c r="B31" s="1835"/>
      <c r="C31" s="2106"/>
      <c r="D31" s="2106"/>
      <c r="E31" s="1835"/>
      <c r="F31" s="1823"/>
      <c r="G31" s="1836" t="e">
        <f t="shared" ca="1" si="0"/>
        <v>#DIV/0!</v>
      </c>
      <c r="H31" s="2103"/>
      <c r="I31" s="1837"/>
      <c r="J31" s="1837"/>
    </row>
    <row r="32" spans="1:10" ht="15" customHeight="1">
      <c r="A32" s="1821">
        <v>18</v>
      </c>
      <c r="B32" s="1835"/>
      <c r="C32" s="2106"/>
      <c r="D32" s="2106"/>
      <c r="E32" s="1835"/>
      <c r="F32" s="1823"/>
      <c r="G32" s="1836" t="e">
        <f t="shared" ca="1" si="0"/>
        <v>#DIV/0!</v>
      </c>
      <c r="H32" s="2103"/>
      <c r="I32" s="1837"/>
      <c r="J32" s="1837"/>
    </row>
    <row r="33" spans="1:10" ht="15" customHeight="1">
      <c r="A33" s="1821">
        <v>19</v>
      </c>
      <c r="B33" s="1835"/>
      <c r="C33" s="2106"/>
      <c r="D33" s="2106"/>
      <c r="E33" s="1835"/>
      <c r="F33" s="1823"/>
      <c r="G33" s="1836" t="e">
        <f t="shared" ca="1" si="0"/>
        <v>#DIV/0!</v>
      </c>
      <c r="H33" s="2103"/>
      <c r="I33" s="1837"/>
      <c r="J33" s="1837"/>
    </row>
    <row r="34" spans="1:10" ht="15" hidden="1" customHeight="1">
      <c r="A34" s="1821">
        <v>20</v>
      </c>
      <c r="B34" s="1835"/>
      <c r="C34" s="2106"/>
      <c r="D34" s="2106"/>
      <c r="E34" s="1835"/>
      <c r="F34" s="1823"/>
      <c r="G34" s="1836" t="e">
        <f t="shared" ca="1" si="0"/>
        <v>#DIV/0!</v>
      </c>
      <c r="H34" s="2103"/>
      <c r="I34" s="1837"/>
      <c r="J34" s="1837"/>
    </row>
    <row r="35" spans="1:10" ht="15" hidden="1" customHeight="1">
      <c r="A35" s="1821">
        <v>21</v>
      </c>
      <c r="B35" s="1835"/>
      <c r="C35" s="2106"/>
      <c r="D35" s="2106"/>
      <c r="E35" s="1835"/>
      <c r="F35" s="1823"/>
      <c r="G35" s="1836" t="e">
        <f t="shared" ca="1" si="0"/>
        <v>#DIV/0!</v>
      </c>
      <c r="H35" s="2103"/>
      <c r="I35" s="1837"/>
      <c r="J35" s="1837"/>
    </row>
    <row r="36" spans="1:10" ht="15" hidden="1" customHeight="1">
      <c r="A36" s="1821">
        <v>22</v>
      </c>
      <c r="B36" s="1835"/>
      <c r="C36" s="2106"/>
      <c r="D36" s="2106"/>
      <c r="E36" s="1835"/>
      <c r="F36" s="1823"/>
      <c r="G36" s="1836" t="e">
        <f t="shared" ca="1" si="0"/>
        <v>#DIV/0!</v>
      </c>
      <c r="H36" s="2103"/>
      <c r="I36" s="1837"/>
      <c r="J36" s="1837"/>
    </row>
    <row r="37" spans="1:10" ht="15" hidden="1" customHeight="1">
      <c r="A37" s="1821">
        <v>23</v>
      </c>
      <c r="B37" s="1835"/>
      <c r="C37" s="2106"/>
      <c r="D37" s="2106"/>
      <c r="E37" s="1835"/>
      <c r="F37" s="1823"/>
      <c r="G37" s="1836" t="e">
        <f t="shared" ca="1" si="0"/>
        <v>#DIV/0!</v>
      </c>
      <c r="H37" s="2103"/>
      <c r="I37" s="1837"/>
      <c r="J37" s="1837"/>
    </row>
    <row r="38" spans="1:10" ht="15" hidden="1" customHeight="1">
      <c r="A38" s="1821">
        <v>24</v>
      </c>
      <c r="B38" s="1835"/>
      <c r="C38" s="2106"/>
      <c r="D38" s="2106"/>
      <c r="E38" s="1835"/>
      <c r="F38" s="1823"/>
      <c r="G38" s="1836" t="e">
        <f t="shared" ca="1" si="0"/>
        <v>#DIV/0!</v>
      </c>
      <c r="H38" s="2103"/>
      <c r="I38" s="1837"/>
      <c r="J38" s="1837"/>
    </row>
    <row r="39" spans="1:10" ht="15" hidden="1" customHeight="1">
      <c r="A39" s="1821">
        <v>25</v>
      </c>
      <c r="B39" s="1835"/>
      <c r="C39" s="2106"/>
      <c r="D39" s="2106"/>
      <c r="E39" s="1835"/>
      <c r="F39" s="1823"/>
      <c r="G39" s="1836" t="e">
        <f t="shared" ca="1" si="0"/>
        <v>#DIV/0!</v>
      </c>
      <c r="H39" s="2103"/>
      <c r="I39" s="1837"/>
      <c r="J39" s="1837"/>
    </row>
    <row r="40" spans="1:10" ht="15" hidden="1" customHeight="1">
      <c r="A40" s="1821">
        <v>26</v>
      </c>
      <c r="B40" s="1835"/>
      <c r="C40" s="2106"/>
      <c r="D40" s="2106"/>
      <c r="E40" s="1835"/>
      <c r="F40" s="1823"/>
      <c r="G40" s="1836" t="e">
        <f t="shared" ca="1" si="0"/>
        <v>#DIV/0!</v>
      </c>
      <c r="H40" s="2103"/>
      <c r="I40" s="1837"/>
      <c r="J40" s="1837"/>
    </row>
    <row r="41" spans="1:10" ht="15" hidden="1" customHeight="1">
      <c r="A41" s="1821">
        <v>27</v>
      </c>
      <c r="B41" s="1835"/>
      <c r="C41" s="2106"/>
      <c r="D41" s="2106"/>
      <c r="E41" s="1835"/>
      <c r="F41" s="1823"/>
      <c r="G41" s="1836" t="e">
        <f t="shared" ca="1" si="0"/>
        <v>#DIV/0!</v>
      </c>
      <c r="H41" s="2103"/>
      <c r="I41" s="1837"/>
      <c r="J41" s="1837"/>
    </row>
    <row r="42" spans="1:10" ht="15" hidden="1" customHeight="1">
      <c r="A42" s="1821">
        <v>28</v>
      </c>
      <c r="B42" s="1835"/>
      <c r="C42" s="2106"/>
      <c r="D42" s="2106"/>
      <c r="E42" s="1835"/>
      <c r="F42" s="1823"/>
      <c r="G42" s="1836" t="e">
        <f t="shared" ca="1" si="0"/>
        <v>#DIV/0!</v>
      </c>
      <c r="H42" s="2103"/>
      <c r="I42" s="1837"/>
      <c r="J42" s="1837"/>
    </row>
    <row r="43" spans="1:10" ht="15" hidden="1" customHeight="1">
      <c r="A43" s="1821">
        <v>29</v>
      </c>
      <c r="B43" s="1835"/>
      <c r="C43" s="2106"/>
      <c r="D43" s="2106"/>
      <c r="E43" s="1835"/>
      <c r="F43" s="1823"/>
      <c r="G43" s="1836" t="e">
        <f t="shared" ca="1" si="0"/>
        <v>#DIV/0!</v>
      </c>
      <c r="H43" s="2104"/>
      <c r="I43" s="1837"/>
      <c r="J43" s="1837"/>
    </row>
    <row r="44" spans="1:10" ht="15" customHeight="1">
      <c r="A44" s="2111" t="s">
        <v>1585</v>
      </c>
      <c r="B44" s="2112"/>
      <c r="C44" s="2112"/>
      <c r="D44" s="2112"/>
      <c r="E44" s="2112"/>
      <c r="F44" s="2112"/>
      <c r="G44" s="2113"/>
      <c r="H44" s="1839"/>
      <c r="I44" s="1837"/>
      <c r="J44" s="1837"/>
    </row>
    <row r="45" spans="1:10">
      <c r="A45" s="1821">
        <v>30</v>
      </c>
      <c r="B45" s="1822"/>
      <c r="C45" s="2097" t="s">
        <v>1586</v>
      </c>
      <c r="D45" s="2097"/>
      <c r="E45" s="2097"/>
      <c r="F45" s="2097"/>
      <c r="G45" s="2098"/>
      <c r="H45" s="1840" t="e">
        <f ca="1">SUM(G24:G43)</f>
        <v>#DIV/0!</v>
      </c>
    </row>
    <row r="46" spans="1:10">
      <c r="A46" s="1821">
        <v>31</v>
      </c>
      <c r="B46" s="1822"/>
      <c r="C46" s="2097" t="s">
        <v>1587</v>
      </c>
      <c r="D46" s="2097"/>
      <c r="E46" s="2097"/>
      <c r="F46" s="2097"/>
      <c r="G46" s="2097"/>
      <c r="H46" s="1829">
        <f>IF(H18="no",0,IF(H18="yes",H17,"Error"))</f>
        <v>0</v>
      </c>
    </row>
    <row r="47" spans="1:10">
      <c r="A47" s="1821">
        <v>32</v>
      </c>
      <c r="B47" s="1822"/>
      <c r="C47" s="2100" t="s">
        <v>1588</v>
      </c>
      <c r="D47" s="2100"/>
      <c r="E47" s="2100"/>
      <c r="F47" s="2100"/>
      <c r="G47" s="2101"/>
      <c r="H47" s="1841" t="e">
        <f ca="1">H45+H46</f>
        <v>#DIV/0!</v>
      </c>
    </row>
    <row r="48" spans="1:10">
      <c r="A48" s="2099"/>
      <c r="B48" s="2095"/>
      <c r="C48" s="2095"/>
      <c r="D48" s="2095"/>
      <c r="E48" s="2095"/>
      <c r="F48" s="2095"/>
      <c r="G48" s="2096"/>
      <c r="H48" s="1820"/>
    </row>
    <row r="49" spans="1:8">
      <c r="A49" s="2114" t="s">
        <v>1589</v>
      </c>
      <c r="B49" s="2115"/>
      <c r="C49" s="2115"/>
      <c r="D49" s="2115"/>
      <c r="E49" s="2115"/>
      <c r="F49" s="2115"/>
      <c r="G49" s="2116"/>
      <c r="H49" s="1820"/>
    </row>
    <row r="50" spans="1:8">
      <c r="A50" s="1828"/>
      <c r="B50" s="1842" t="s">
        <v>431</v>
      </c>
      <c r="C50" s="1831" t="s">
        <v>1590</v>
      </c>
      <c r="D50" s="2117" t="s">
        <v>1591</v>
      </c>
      <c r="E50" s="2118"/>
      <c r="F50" s="2119" t="s">
        <v>1592</v>
      </c>
      <c r="G50" s="2120"/>
      <c r="H50" s="1843"/>
    </row>
    <row r="51" spans="1:8">
      <c r="A51" s="1821">
        <v>33</v>
      </c>
      <c r="B51" s="1844">
        <f>COUNTIF(E24:E43,0)</f>
        <v>1</v>
      </c>
      <c r="C51" s="1820" t="s">
        <v>1593</v>
      </c>
      <c r="D51" s="2122">
        <f>63881*2.4</f>
        <v>153314.4</v>
      </c>
      <c r="E51" s="2123"/>
      <c r="F51" s="2124">
        <f>B51*D51</f>
        <v>153314.4</v>
      </c>
      <c r="G51" s="2125"/>
      <c r="H51" s="2121"/>
    </row>
    <row r="52" spans="1:8">
      <c r="A52" s="1821">
        <v>34</v>
      </c>
      <c r="B52" s="1844">
        <f>COUNTIF(E24:E43,1)</f>
        <v>1</v>
      </c>
      <c r="C52" s="1820" t="s">
        <v>1594</v>
      </c>
      <c r="D52" s="2122">
        <f>73230*2.4</f>
        <v>175752</v>
      </c>
      <c r="E52" s="2123"/>
      <c r="F52" s="2124">
        <f>B52*D52</f>
        <v>175752</v>
      </c>
      <c r="G52" s="2125"/>
      <c r="H52" s="2121"/>
    </row>
    <row r="53" spans="1:8">
      <c r="A53" s="1821">
        <v>35</v>
      </c>
      <c r="B53" s="1844">
        <f>COUNTIF(E24:E43,2)</f>
        <v>1</v>
      </c>
      <c r="C53" s="1820" t="s">
        <v>1595</v>
      </c>
      <c r="D53" s="2122">
        <f>89049*2.4</f>
        <v>213717.6</v>
      </c>
      <c r="E53" s="2123"/>
      <c r="F53" s="2124">
        <f>B53*D53</f>
        <v>213717.6</v>
      </c>
      <c r="G53" s="2125"/>
      <c r="H53" s="2121"/>
    </row>
    <row r="54" spans="1:8">
      <c r="A54" s="1821">
        <v>36</v>
      </c>
      <c r="B54" s="1844">
        <f>COUNTIF(E24:E43,3)</f>
        <v>1</v>
      </c>
      <c r="C54" s="1820" t="s">
        <v>1596</v>
      </c>
      <c r="D54" s="2122">
        <f>115201*2.4</f>
        <v>276482.39999999997</v>
      </c>
      <c r="E54" s="2123"/>
      <c r="F54" s="2124">
        <f>B54*D54</f>
        <v>276482.39999999997</v>
      </c>
      <c r="G54" s="2125"/>
      <c r="H54" s="2121"/>
    </row>
    <row r="55" spans="1:8">
      <c r="A55" s="1821">
        <v>37</v>
      </c>
      <c r="B55" s="1844">
        <f>COUNTIF(E24:E43,4)</f>
        <v>1</v>
      </c>
      <c r="C55" s="1820" t="s">
        <v>1597</v>
      </c>
      <c r="D55" s="2122">
        <f>126454*2.4</f>
        <v>303489.59999999998</v>
      </c>
      <c r="E55" s="2123"/>
      <c r="F55" s="2124">
        <f>B55*D55</f>
        <v>303489.59999999998</v>
      </c>
      <c r="G55" s="2125"/>
      <c r="H55" s="2121"/>
    </row>
    <row r="56" spans="1:8">
      <c r="A56" s="1821">
        <v>38</v>
      </c>
      <c r="B56" s="1822"/>
      <c r="C56" s="2100" t="s">
        <v>1598</v>
      </c>
      <c r="D56" s="2100"/>
      <c r="E56" s="2100"/>
      <c r="F56" s="2100"/>
      <c r="G56" s="2101"/>
      <c r="H56" s="1845">
        <f>SUM(F51:F55)</f>
        <v>1122756</v>
      </c>
    </row>
    <row r="57" spans="1:8">
      <c r="A57" s="2099"/>
      <c r="B57" s="2095"/>
      <c r="C57" s="2095"/>
      <c r="D57" s="2095"/>
      <c r="E57" s="2095"/>
      <c r="F57" s="2095"/>
      <c r="G57" s="2096"/>
      <c r="H57" s="1820"/>
    </row>
    <row r="58" spans="1:8">
      <c r="A58" s="2085" t="s">
        <v>1599</v>
      </c>
      <c r="B58" s="2086"/>
      <c r="C58" s="2086"/>
      <c r="D58" s="2086"/>
      <c r="E58" s="2086"/>
      <c r="F58" s="2086"/>
      <c r="G58" s="2087"/>
      <c r="H58" s="1820"/>
    </row>
    <row r="59" spans="1:8">
      <c r="A59" s="1821">
        <v>39</v>
      </c>
      <c r="B59" s="1822"/>
      <c r="C59" s="2097" t="s">
        <v>1600</v>
      </c>
      <c r="D59" s="2097"/>
      <c r="E59" s="2097"/>
      <c r="F59" s="2097"/>
      <c r="G59" s="1822"/>
      <c r="H59" s="1829">
        <f>H11</f>
        <v>0</v>
      </c>
    </row>
    <row r="60" spans="1:8">
      <c r="A60" s="1821">
        <v>40</v>
      </c>
      <c r="B60" s="1822"/>
      <c r="C60" s="2097" t="s">
        <v>1601</v>
      </c>
      <c r="D60" s="2097"/>
      <c r="E60" s="2097"/>
      <c r="F60" s="2097"/>
      <c r="G60" s="1822"/>
      <c r="H60" s="1829" t="e">
        <f ca="1">H47</f>
        <v>#DIV/0!</v>
      </c>
    </row>
    <row r="61" spans="1:8">
      <c r="A61" s="1821">
        <v>41</v>
      </c>
      <c r="B61" s="1822"/>
      <c r="C61" s="2097" t="s">
        <v>1602</v>
      </c>
      <c r="D61" s="2097"/>
      <c r="E61" s="2097"/>
      <c r="F61" s="2097"/>
      <c r="G61" s="1822"/>
      <c r="H61" s="1829">
        <f>H56</f>
        <v>1122756</v>
      </c>
    </row>
    <row r="62" spans="1:8">
      <c r="A62" s="1821">
        <v>42</v>
      </c>
      <c r="B62" s="1822"/>
      <c r="C62" s="2100" t="s">
        <v>1603</v>
      </c>
      <c r="D62" s="2100"/>
      <c r="E62" s="2100"/>
      <c r="F62" s="2100"/>
      <c r="G62" s="2101"/>
      <c r="H62" s="1841" t="e">
        <f ca="1">IF(ISBLANK(H11),MIN(H60:H61),MIN(H59:H61))</f>
        <v>#DIV/0!</v>
      </c>
    </row>
    <row r="63" spans="1:8">
      <c r="D63" s="1846"/>
    </row>
  </sheetData>
  <sheetProtection algorithmName="SHA-512" hashValue="IiCsA1wKbK/45ptRKtvjE5Z+QlAtYlzUmYy5c3FBB3we8x8AEqKzjV7g1MS88m5MdpfudHROjwhB1QS6vPcJSg==" saltValue="XFTDNh29bfnfxjCxg45krw==" spinCount="100000" sheet="1" formatRows="0"/>
  <mergeCells count="69">
    <mergeCell ref="C62:G62"/>
    <mergeCell ref="C56:G56"/>
    <mergeCell ref="A57:G57"/>
    <mergeCell ref="A58:G58"/>
    <mergeCell ref="C59:F59"/>
    <mergeCell ref="C60:F60"/>
    <mergeCell ref="C61:F61"/>
    <mergeCell ref="H51:H55"/>
    <mergeCell ref="D52:E52"/>
    <mergeCell ref="F52:G52"/>
    <mergeCell ref="D53:E53"/>
    <mergeCell ref="F53:G53"/>
    <mergeCell ref="D54:E54"/>
    <mergeCell ref="F54:G54"/>
    <mergeCell ref="D55:E55"/>
    <mergeCell ref="F55:G55"/>
    <mergeCell ref="D51:E51"/>
    <mergeCell ref="F51:G51"/>
    <mergeCell ref="C47:G47"/>
    <mergeCell ref="A48:G48"/>
    <mergeCell ref="A49:G49"/>
    <mergeCell ref="D50:E50"/>
    <mergeCell ref="F50:G50"/>
    <mergeCell ref="C46:G46"/>
    <mergeCell ref="C35:D35"/>
    <mergeCell ref="C36:D36"/>
    <mergeCell ref="C37:D37"/>
    <mergeCell ref="C38:D38"/>
    <mergeCell ref="C39:D39"/>
    <mergeCell ref="C40:D40"/>
    <mergeCell ref="C41:D41"/>
    <mergeCell ref="C42:D42"/>
    <mergeCell ref="C43:D43"/>
    <mergeCell ref="A44:G44"/>
    <mergeCell ref="C45:G45"/>
    <mergeCell ref="C20:G20"/>
    <mergeCell ref="C21:G21"/>
    <mergeCell ref="A22:G22"/>
    <mergeCell ref="C23:D23"/>
    <mergeCell ref="C29:D29"/>
    <mergeCell ref="H23:H43"/>
    <mergeCell ref="C24:D24"/>
    <mergeCell ref="C25:D25"/>
    <mergeCell ref="C26:D26"/>
    <mergeCell ref="C27:D27"/>
    <mergeCell ref="C28:D28"/>
    <mergeCell ref="C34:D34"/>
    <mergeCell ref="C30:D30"/>
    <mergeCell ref="C31:D31"/>
    <mergeCell ref="C32:D32"/>
    <mergeCell ref="C33:D33"/>
    <mergeCell ref="C19:G19"/>
    <mergeCell ref="C8:G8"/>
    <mergeCell ref="A9:G9"/>
    <mergeCell ref="A10:G10"/>
    <mergeCell ref="C11:G11"/>
    <mergeCell ref="A12:G12"/>
    <mergeCell ref="A13:G13"/>
    <mergeCell ref="C14:G14"/>
    <mergeCell ref="C15:G15"/>
    <mergeCell ref="C16:G16"/>
    <mergeCell ref="C17:G17"/>
    <mergeCell ref="C18:G18"/>
    <mergeCell ref="A7:G7"/>
    <mergeCell ref="A1:D1"/>
    <mergeCell ref="A2:D2"/>
    <mergeCell ref="C3:D3"/>
    <mergeCell ref="C4:D4"/>
    <mergeCell ref="C5:D5"/>
  </mergeCells>
  <dataValidations count="2">
    <dataValidation type="list" showInputMessage="1" showErrorMessage="1" promptTitle="Response Required" prompt="To treat relocation as common cost of project, choose No.  To treat relocation as a cost exclusive to the HOME-assisted units, enter Yes." sqref="H18" xr:uid="{176C0033-84AC-4087-AC14-924BF45DF891}">
      <formula1>"No,Yes"</formula1>
    </dataValidation>
    <dataValidation type="list" allowBlank="1" showInputMessage="1" showErrorMessage="1" sqref="E24:E43" xr:uid="{63661104-3CAF-4480-8BCC-8CB5856B63AD}">
      <formula1>"0,1,2,3,4"</formula1>
    </dataValidation>
  </dataValidations>
  <hyperlinks>
    <hyperlink ref="A1:D1" location="'Selection of Method'!A1" display="Return to Selection of Method &amp; Project Information Page" xr:uid="{B7F96810-28CC-4868-80A7-4A19560BF882}"/>
  </hyperlinks>
  <pageMargins left="0.7" right="0.7" top="0.75" bottom="0.75" header="0.3" footer="0.3"/>
  <pageSetup scale="8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tabColor indexed="39"/>
    <pageSetUpPr fitToPage="1"/>
  </sheetPr>
  <dimension ref="A1:K158"/>
  <sheetViews>
    <sheetView workbookViewId="0">
      <selection activeCell="F19" sqref="F19"/>
    </sheetView>
  </sheetViews>
  <sheetFormatPr defaultColWidth="9.140625" defaultRowHeight="12.75"/>
  <cols>
    <col min="1" max="1" width="9.28515625" style="975" customWidth="1"/>
    <col min="2" max="3" width="13" style="560" customWidth="1"/>
    <col min="4" max="7" width="12.85546875" style="560" customWidth="1"/>
    <col min="8" max="9" width="10.28515625" style="560" bestFit="1" customWidth="1"/>
    <col min="10" max="10" width="9.140625" style="561"/>
    <col min="11" max="11" width="9.140625" style="561" hidden="1" customWidth="1"/>
    <col min="12" max="16384" width="9.140625" style="561"/>
  </cols>
  <sheetData>
    <row r="1" spans="1:9" ht="14.25" customHeight="1"/>
    <row r="2" spans="1:9" ht="14.25" customHeight="1"/>
    <row r="3" spans="1:9" ht="14.25" customHeight="1"/>
    <row r="4" spans="1:9" ht="14.25" customHeight="1">
      <c r="B4" s="2126" t="s">
        <v>1003</v>
      </c>
      <c r="C4" s="2126"/>
      <c r="D4" s="2126"/>
      <c r="E4" s="2126"/>
      <c r="F4" s="2126"/>
      <c r="G4" s="2126"/>
      <c r="H4" s="2126"/>
      <c r="I4" s="2126"/>
    </row>
    <row r="5" spans="1:9">
      <c r="A5" s="1811"/>
      <c r="B5" s="2126" t="s">
        <v>1004</v>
      </c>
      <c r="C5" s="2126"/>
      <c r="D5" s="2126"/>
      <c r="E5" s="2126"/>
      <c r="F5" s="2126"/>
      <c r="G5" s="2126"/>
      <c r="H5" s="2126"/>
      <c r="I5" s="2126"/>
    </row>
    <row r="6" spans="1:9" ht="16.5" customHeight="1">
      <c r="A6" s="1811"/>
      <c r="B6" s="1695"/>
    </row>
    <row r="7" spans="1:9" s="563" customFormat="1" ht="15" customHeight="1">
      <c r="A7" s="974"/>
      <c r="B7" s="562" t="s">
        <v>1005</v>
      </c>
      <c r="C7" s="562" t="s">
        <v>1006</v>
      </c>
      <c r="D7" s="562" t="s">
        <v>1007</v>
      </c>
      <c r="E7" s="562" t="s">
        <v>1008</v>
      </c>
      <c r="F7" s="562" t="s">
        <v>1009</v>
      </c>
      <c r="G7" s="562" t="s">
        <v>1010</v>
      </c>
      <c r="H7" s="562" t="s">
        <v>1011</v>
      </c>
      <c r="I7" s="562" t="s">
        <v>1012</v>
      </c>
    </row>
    <row r="8" spans="1:9">
      <c r="A8" s="975">
        <v>2015</v>
      </c>
      <c r="B8" s="1696"/>
      <c r="C8" s="1696"/>
      <c r="D8" s="1696"/>
      <c r="E8" s="1696"/>
      <c r="F8" s="1696"/>
      <c r="G8" s="1696"/>
      <c r="H8" s="1696"/>
      <c r="I8" s="1696"/>
    </row>
    <row r="9" spans="1:9">
      <c r="A9" s="975">
        <v>2016</v>
      </c>
      <c r="B9" s="1696"/>
      <c r="C9" s="1696"/>
      <c r="D9" s="1696"/>
      <c r="E9" s="1696"/>
      <c r="F9" s="1696"/>
      <c r="G9" s="1696"/>
      <c r="H9" s="1696"/>
      <c r="I9" s="1696"/>
    </row>
    <row r="10" spans="1:9">
      <c r="A10" s="975">
        <v>2017</v>
      </c>
      <c r="B10" s="1696"/>
      <c r="C10" s="1696"/>
      <c r="D10" s="1696"/>
      <c r="E10" s="1696"/>
      <c r="F10" s="1696"/>
      <c r="G10" s="1696"/>
      <c r="H10" s="1696"/>
      <c r="I10" s="1696"/>
    </row>
    <row r="11" spans="1:9">
      <c r="A11" s="975">
        <v>2018</v>
      </c>
      <c r="B11" s="1696"/>
      <c r="C11" s="1696"/>
      <c r="D11" s="1696"/>
      <c r="E11" s="1696"/>
      <c r="F11" s="1696"/>
      <c r="G11" s="1696"/>
      <c r="H11" s="1696"/>
      <c r="I11" s="1696"/>
    </row>
    <row r="12" spans="1:9">
      <c r="A12" s="975">
        <v>2019</v>
      </c>
      <c r="B12" s="1696">
        <v>62400</v>
      </c>
      <c r="C12" s="1696">
        <v>71300</v>
      </c>
      <c r="D12" s="1696">
        <v>80200</v>
      </c>
      <c r="E12" s="1696">
        <v>89100</v>
      </c>
      <c r="F12" s="1696">
        <v>96300</v>
      </c>
      <c r="G12" s="1696">
        <v>103400</v>
      </c>
      <c r="H12" s="1696">
        <v>110500</v>
      </c>
      <c r="I12" s="1696">
        <v>117700</v>
      </c>
    </row>
    <row r="13" spans="1:9">
      <c r="A13" s="975">
        <v>2020</v>
      </c>
      <c r="B13" s="1696"/>
      <c r="C13" s="1696"/>
      <c r="D13" s="1696"/>
      <c r="E13" s="1696"/>
      <c r="F13" s="1696"/>
      <c r="G13" s="1696"/>
      <c r="H13" s="1696"/>
      <c r="I13" s="1696"/>
    </row>
    <row r="14" spans="1:9" ht="14.25" customHeight="1">
      <c r="A14" s="975">
        <v>2021</v>
      </c>
      <c r="B14" s="1696">
        <v>65300</v>
      </c>
      <c r="C14" s="1696">
        <v>74600</v>
      </c>
      <c r="D14" s="1696">
        <v>83900</v>
      </c>
      <c r="E14" s="1696">
        <v>93200</v>
      </c>
      <c r="F14" s="1696">
        <v>100700</v>
      </c>
      <c r="G14" s="1696">
        <v>108200</v>
      </c>
      <c r="H14" s="1696">
        <v>115600</v>
      </c>
      <c r="I14" s="1696">
        <v>123100</v>
      </c>
    </row>
    <row r="15" spans="1:9">
      <c r="A15" s="975">
        <v>2022</v>
      </c>
      <c r="B15" s="1696"/>
      <c r="C15" s="1696"/>
      <c r="D15" s="1696"/>
      <c r="E15" s="1696"/>
      <c r="F15" s="1696"/>
      <c r="G15" s="1696"/>
      <c r="H15" s="1696"/>
      <c r="I15" s="1696"/>
    </row>
    <row r="16" spans="1:9">
      <c r="A16" s="976"/>
      <c r="B16" s="1697"/>
      <c r="C16" s="1697"/>
      <c r="D16" s="1698"/>
      <c r="E16" s="1697"/>
      <c r="F16" s="1697"/>
      <c r="G16" s="1697"/>
      <c r="H16" s="1697"/>
      <c r="I16" s="1697"/>
    </row>
    <row r="17" spans="1:9">
      <c r="A17" s="976"/>
      <c r="B17" s="1697"/>
      <c r="C17" s="1699"/>
      <c r="D17" s="1699"/>
      <c r="E17" s="1699"/>
      <c r="F17" s="1699"/>
      <c r="G17" s="1697"/>
      <c r="H17" s="1697"/>
      <c r="I17" s="1697"/>
    </row>
    <row r="18" spans="1:9">
      <c r="A18" s="1811"/>
      <c r="B18" s="2126" t="s">
        <v>1013</v>
      </c>
      <c r="C18" s="2126"/>
      <c r="D18" s="2126"/>
      <c r="E18" s="1700"/>
      <c r="F18" s="1700"/>
      <c r="G18" s="1701"/>
      <c r="H18" s="1701"/>
      <c r="I18" s="1701"/>
    </row>
    <row r="19" spans="1:9" ht="15.75" customHeight="1">
      <c r="A19" s="1811"/>
      <c r="B19" s="1701"/>
      <c r="C19" s="1700"/>
      <c r="D19" s="1700"/>
      <c r="E19" s="1700"/>
      <c r="F19" s="1700"/>
      <c r="G19" s="1701"/>
      <c r="H19" s="1701"/>
      <c r="I19" s="1701"/>
    </row>
    <row r="20" spans="1:9" s="562" customFormat="1" ht="51">
      <c r="A20" s="1702" t="s">
        <v>1014</v>
      </c>
      <c r="B20" s="1703" t="s">
        <v>1015</v>
      </c>
      <c r="C20" s="1704">
        <v>0.6</v>
      </c>
      <c r="D20" s="1717" t="s">
        <v>1016</v>
      </c>
      <c r="E20" s="1704">
        <v>0.8</v>
      </c>
    </row>
    <row r="21" spans="1:9">
      <c r="A21" s="1705">
        <v>0</v>
      </c>
      <c r="B21" s="1696">
        <v>816</v>
      </c>
      <c r="C21" s="1696">
        <v>980</v>
      </c>
      <c r="D21" s="1696">
        <v>1012</v>
      </c>
      <c r="E21" s="1696">
        <v>1305</v>
      </c>
      <c r="F21" s="561"/>
      <c r="G21" s="562"/>
      <c r="H21" s="562"/>
      <c r="I21" s="561"/>
    </row>
    <row r="22" spans="1:9">
      <c r="A22" s="1705">
        <v>1</v>
      </c>
      <c r="B22" s="1696">
        <v>874</v>
      </c>
      <c r="C22" s="1696">
        <v>1049</v>
      </c>
      <c r="D22" s="1696">
        <v>1117</v>
      </c>
      <c r="E22" s="1696">
        <v>1398</v>
      </c>
      <c r="F22" s="561"/>
      <c r="G22" s="562"/>
      <c r="H22" s="562"/>
      <c r="I22" s="561"/>
    </row>
    <row r="23" spans="1:9">
      <c r="A23" s="1705">
        <v>2</v>
      </c>
      <c r="B23" s="1696">
        <v>1048</v>
      </c>
      <c r="C23" s="1696">
        <v>1259</v>
      </c>
      <c r="D23" s="1696">
        <v>1299</v>
      </c>
      <c r="E23" s="1696">
        <v>1678</v>
      </c>
      <c r="F23" s="561"/>
      <c r="G23" s="562"/>
      <c r="H23" s="562"/>
      <c r="I23" s="561"/>
    </row>
    <row r="24" spans="1:9">
      <c r="A24" s="1705">
        <v>3</v>
      </c>
      <c r="B24" s="1696">
        <v>1211</v>
      </c>
      <c r="C24" s="1696">
        <v>1454</v>
      </c>
      <c r="D24" s="1696">
        <v>1542</v>
      </c>
      <c r="E24" s="1696">
        <v>1707</v>
      </c>
      <c r="F24" s="561"/>
      <c r="G24" s="562"/>
      <c r="H24" s="562"/>
      <c r="I24" s="561"/>
    </row>
    <row r="25" spans="1:9">
      <c r="A25" s="1705">
        <v>4</v>
      </c>
      <c r="B25" s="1696">
        <v>1352</v>
      </c>
      <c r="C25" s="1696">
        <v>1623</v>
      </c>
      <c r="D25" s="1696">
        <v>1700</v>
      </c>
      <c r="E25" s="1696">
        <v>1939</v>
      </c>
      <c r="F25" s="561"/>
      <c r="G25" s="562"/>
      <c r="H25" s="562"/>
      <c r="I25" s="561"/>
    </row>
    <row r="26" spans="1:9">
      <c r="A26" s="1705">
        <v>5</v>
      </c>
      <c r="B26" s="1696">
        <v>1491</v>
      </c>
      <c r="C26" s="1696">
        <v>1790</v>
      </c>
      <c r="D26" s="1696">
        <v>1857</v>
      </c>
      <c r="E26" s="1696">
        <v>2386</v>
      </c>
      <c r="F26" s="561"/>
      <c r="G26" s="562"/>
      <c r="H26" s="562"/>
      <c r="I26" s="561"/>
    </row>
    <row r="27" spans="1:9">
      <c r="A27" s="1705"/>
      <c r="B27" s="561"/>
      <c r="C27" s="561"/>
      <c r="D27" s="561"/>
      <c r="E27" s="561"/>
      <c r="F27" s="561"/>
      <c r="G27" s="562"/>
      <c r="H27" s="562"/>
      <c r="I27" s="561"/>
    </row>
    <row r="28" spans="1:9">
      <c r="A28" s="1705"/>
      <c r="B28" s="561"/>
      <c r="C28" s="561"/>
      <c r="D28" s="561"/>
      <c r="E28" s="561"/>
      <c r="F28" s="561"/>
      <c r="G28" s="562"/>
      <c r="H28" s="562"/>
      <c r="I28" s="561"/>
    </row>
    <row r="29" spans="1:9">
      <c r="A29" s="2126" t="s">
        <v>1013</v>
      </c>
      <c r="B29" s="2126"/>
      <c r="C29" s="2126"/>
      <c r="D29" s="2126"/>
      <c r="E29" s="2126"/>
      <c r="F29" s="2126"/>
      <c r="G29" s="2126"/>
      <c r="H29" s="561"/>
      <c r="I29" s="561"/>
    </row>
    <row r="30" spans="1:9">
      <c r="A30" s="2136" t="s">
        <v>1017</v>
      </c>
      <c r="B30" s="2136"/>
      <c r="C30" s="2136"/>
      <c r="D30" s="2136"/>
      <c r="E30" s="2136"/>
      <c r="F30" s="2136"/>
      <c r="G30" s="2136"/>
      <c r="H30" s="978"/>
      <c r="I30" s="978"/>
    </row>
    <row r="31" spans="1:9">
      <c r="A31" s="561"/>
      <c r="B31" s="561"/>
      <c r="C31" s="561"/>
      <c r="D31" s="561"/>
      <c r="E31" s="561"/>
      <c r="F31" s="561"/>
      <c r="G31" s="561"/>
      <c r="H31" s="561"/>
      <c r="I31" s="561"/>
    </row>
    <row r="32" spans="1:9" ht="51">
      <c r="B32" s="1706" t="s">
        <v>1014</v>
      </c>
      <c r="C32" s="1707" t="s">
        <v>1018</v>
      </c>
      <c r="D32" s="1707" t="s">
        <v>1019</v>
      </c>
      <c r="E32" s="1707" t="s">
        <v>1020</v>
      </c>
      <c r="F32" s="1707" t="s">
        <v>1021</v>
      </c>
      <c r="G32" s="1707" t="s">
        <v>1022</v>
      </c>
      <c r="H32" s="561"/>
      <c r="I32" s="561"/>
    </row>
    <row r="33" spans="1:11">
      <c r="A33" s="2130" t="s">
        <v>1023</v>
      </c>
      <c r="B33" s="979">
        <v>0</v>
      </c>
      <c r="C33" s="1708">
        <v>47</v>
      </c>
      <c r="D33" s="1709">
        <v>93</v>
      </c>
      <c r="E33" s="1709">
        <v>77</v>
      </c>
      <c r="F33" s="1709">
        <v>51</v>
      </c>
      <c r="G33" s="1709">
        <v>45</v>
      </c>
      <c r="H33" s="561"/>
      <c r="I33" s="561"/>
    </row>
    <row r="34" spans="1:11">
      <c r="A34" s="2131"/>
      <c r="B34" s="979">
        <v>1</v>
      </c>
      <c r="C34" s="1710">
        <v>60</v>
      </c>
      <c r="D34" s="1711">
        <v>116</v>
      </c>
      <c r="E34" s="1711">
        <v>95</v>
      </c>
      <c r="F34" s="1711">
        <v>65</v>
      </c>
      <c r="G34" s="1711">
        <v>57</v>
      </c>
      <c r="H34" s="561"/>
      <c r="I34" s="561"/>
    </row>
    <row r="35" spans="1:11">
      <c r="A35" s="2131"/>
      <c r="B35" s="979">
        <v>2</v>
      </c>
      <c r="C35" s="1710">
        <v>73</v>
      </c>
      <c r="D35" s="1711">
        <v>138</v>
      </c>
      <c r="E35" s="1711">
        <v>114</v>
      </c>
      <c r="F35" s="1711">
        <v>79</v>
      </c>
      <c r="G35" s="1711">
        <v>69</v>
      </c>
      <c r="H35" s="561"/>
      <c r="I35" s="561"/>
    </row>
    <row r="36" spans="1:11">
      <c r="A36" s="2131"/>
      <c r="B36" s="979">
        <v>3</v>
      </c>
      <c r="C36" s="1710">
        <v>87</v>
      </c>
      <c r="D36" s="1711">
        <v>162</v>
      </c>
      <c r="E36" s="1711">
        <v>133</v>
      </c>
      <c r="F36" s="1711">
        <v>94</v>
      </c>
      <c r="G36" s="1711">
        <v>82</v>
      </c>
      <c r="H36" s="561"/>
      <c r="I36" s="561"/>
    </row>
    <row r="37" spans="1:11">
      <c r="A37" s="2131"/>
      <c r="B37" s="979">
        <v>4</v>
      </c>
      <c r="C37" s="1710">
        <v>99</v>
      </c>
      <c r="D37" s="1711">
        <v>183</v>
      </c>
      <c r="E37" s="1711">
        <v>151</v>
      </c>
      <c r="F37" s="1711">
        <v>108</v>
      </c>
      <c r="G37" s="1711">
        <v>94</v>
      </c>
      <c r="H37" s="561"/>
      <c r="I37" s="561"/>
    </row>
    <row r="38" spans="1:11">
      <c r="A38" s="2132"/>
      <c r="B38" s="979">
        <v>5</v>
      </c>
      <c r="C38" s="1710">
        <v>112</v>
      </c>
      <c r="D38" s="1711">
        <v>206</v>
      </c>
      <c r="E38" s="1711">
        <v>169</v>
      </c>
      <c r="F38" s="1711">
        <v>122</v>
      </c>
      <c r="G38" s="1711">
        <v>106</v>
      </c>
      <c r="H38" s="561"/>
      <c r="I38" s="561"/>
    </row>
    <row r="39" spans="1:11" ht="12.75" customHeight="1">
      <c r="A39" s="2133" t="s">
        <v>1024</v>
      </c>
      <c r="B39" s="980">
        <v>0</v>
      </c>
      <c r="C39" s="1712">
        <v>34</v>
      </c>
      <c r="D39" s="1713">
        <v>75</v>
      </c>
      <c r="E39" s="1713">
        <v>61</v>
      </c>
      <c r="F39" s="1713">
        <v>38</v>
      </c>
      <c r="G39" s="1713">
        <v>32</v>
      </c>
      <c r="H39" s="561"/>
      <c r="I39" s="561"/>
    </row>
    <row r="40" spans="1:11">
      <c r="A40" s="2134"/>
      <c r="B40" s="1714">
        <v>1</v>
      </c>
      <c r="C40" s="1712">
        <v>47</v>
      </c>
      <c r="D40" s="1713">
        <v>97</v>
      </c>
      <c r="E40" s="1713">
        <v>79</v>
      </c>
      <c r="F40" s="1713">
        <v>52</v>
      </c>
      <c r="G40" s="1713">
        <v>44</v>
      </c>
      <c r="H40" s="561"/>
      <c r="I40" s="561"/>
    </row>
    <row r="41" spans="1:11">
      <c r="A41" s="2134"/>
      <c r="B41" s="981">
        <v>2</v>
      </c>
      <c r="C41" s="1712">
        <v>60</v>
      </c>
      <c r="D41" s="1713">
        <v>119</v>
      </c>
      <c r="E41" s="1713">
        <v>97</v>
      </c>
      <c r="F41" s="1713">
        <v>66</v>
      </c>
      <c r="G41" s="1713">
        <v>56</v>
      </c>
      <c r="H41" s="561"/>
      <c r="I41" s="561"/>
    </row>
    <row r="42" spans="1:11">
      <c r="A42" s="2134"/>
      <c r="B42" s="980">
        <v>3</v>
      </c>
      <c r="C42" s="1712">
        <v>72</v>
      </c>
      <c r="D42" s="1713">
        <v>139</v>
      </c>
      <c r="E42" s="1713">
        <v>113</v>
      </c>
      <c r="F42" s="1713">
        <v>80</v>
      </c>
      <c r="G42" s="1713">
        <v>68</v>
      </c>
      <c r="H42" s="561"/>
      <c r="I42" s="561"/>
    </row>
    <row r="43" spans="1:11">
      <c r="A43" s="2134"/>
      <c r="B43" s="980">
        <v>4</v>
      </c>
      <c r="C43" s="1712">
        <v>85</v>
      </c>
      <c r="D43" s="1713">
        <v>161</v>
      </c>
      <c r="E43" s="1713">
        <v>131</v>
      </c>
      <c r="F43" s="1713">
        <v>94</v>
      </c>
      <c r="G43" s="1713">
        <v>80</v>
      </c>
      <c r="H43" s="561"/>
      <c r="I43" s="561"/>
    </row>
    <row r="44" spans="1:11">
      <c r="A44" s="2135"/>
      <c r="B44" s="982">
        <v>5</v>
      </c>
      <c r="C44" s="1712">
        <v>98</v>
      </c>
      <c r="D44" s="1713">
        <v>182</v>
      </c>
      <c r="E44" s="1713">
        <v>149</v>
      </c>
      <c r="F44" s="1713">
        <v>108</v>
      </c>
      <c r="G44" s="1713">
        <v>92</v>
      </c>
    </row>
    <row r="45" spans="1:11">
      <c r="A45" s="2127" t="s">
        <v>1025</v>
      </c>
      <c r="B45" s="979">
        <v>0</v>
      </c>
      <c r="C45" s="1710">
        <v>34</v>
      </c>
      <c r="D45" s="1711">
        <v>58</v>
      </c>
      <c r="E45" s="1711">
        <v>49</v>
      </c>
      <c r="F45" s="1711">
        <v>38</v>
      </c>
      <c r="G45" s="1711">
        <v>32</v>
      </c>
      <c r="K45" s="561" t="s">
        <v>1026</v>
      </c>
    </row>
    <row r="46" spans="1:11">
      <c r="A46" s="2128"/>
      <c r="B46" s="979">
        <v>1</v>
      </c>
      <c r="C46" s="1710">
        <v>47</v>
      </c>
      <c r="D46" s="1711">
        <v>75</v>
      </c>
      <c r="E46" s="1711">
        <v>65</v>
      </c>
      <c r="F46" s="1711">
        <v>52</v>
      </c>
      <c r="G46" s="1711">
        <v>44</v>
      </c>
      <c r="K46" s="60" t="e">
        <f>#REF!*#REF!+#REF!*Max_Limits!#REF!+#REF!*Max_Limits!#REF!+#REF!*Max_Limits!#REF!+#REF!*Max_Limits!#REF!+#REF!*Max_Limits!#REF!</f>
        <v>#REF!</v>
      </c>
    </row>
    <row r="47" spans="1:11">
      <c r="A47" s="2128"/>
      <c r="B47" s="979">
        <v>2</v>
      </c>
      <c r="C47" s="1710">
        <v>60</v>
      </c>
      <c r="D47" s="1711">
        <v>93</v>
      </c>
      <c r="E47" s="1711">
        <v>81</v>
      </c>
      <c r="F47" s="1711">
        <v>66</v>
      </c>
      <c r="G47" s="1711">
        <v>56</v>
      </c>
      <c r="K47" s="60" t="e">
        <f>#REF!*#REF!+#REF!*Max_Limits!#REF!+#REF!*Max_Limits!#REF!+#REF!*Max_Limits!#REF!+#REF!*Max_Limits!#REF!+#REF!*Max_Limits!#REF!</f>
        <v>#REF!</v>
      </c>
    </row>
    <row r="48" spans="1:11">
      <c r="A48" s="2128"/>
      <c r="B48" s="979">
        <v>3</v>
      </c>
      <c r="C48" s="1710">
        <v>72</v>
      </c>
      <c r="D48" s="1711">
        <v>110</v>
      </c>
      <c r="E48" s="1711">
        <v>96</v>
      </c>
      <c r="F48" s="1711">
        <v>80</v>
      </c>
      <c r="G48" s="1711">
        <v>68</v>
      </c>
      <c r="K48" s="60" t="e">
        <f>#REF!*#REF!+#REF!*Max_Limits!#REF!+#REF!*Max_Limits!#REF!+#REF!*Max_Limits!#REF!+#REF!*Max_Limits!#REF!+#REF!*Max_Limits!#REF!</f>
        <v>#REF!</v>
      </c>
    </row>
    <row r="49" spans="1:11">
      <c r="A49" s="2128"/>
      <c r="B49" s="979">
        <v>4</v>
      </c>
      <c r="C49" s="1710">
        <v>85</v>
      </c>
      <c r="D49" s="1711">
        <v>128</v>
      </c>
      <c r="E49" s="1711">
        <v>111</v>
      </c>
      <c r="F49" s="1711">
        <v>94</v>
      </c>
      <c r="G49" s="1711">
        <v>80</v>
      </c>
      <c r="K49" s="60" t="e">
        <f>#REF!*#REF!+#REF!*Max_Limits!#REF!+#REF!*Max_Limits!#REF!+#REF!*Max_Limits!#REF!+#REF!*Max_Limits!#REF!+#REF!*Max_Limits!#REF!</f>
        <v>#REF!</v>
      </c>
    </row>
    <row r="50" spans="1:11">
      <c r="A50" s="2129"/>
      <c r="B50" s="979">
        <v>5</v>
      </c>
      <c r="C50" s="1710">
        <v>98</v>
      </c>
      <c r="D50" s="1711">
        <v>146</v>
      </c>
      <c r="E50" s="1711">
        <v>127</v>
      </c>
      <c r="F50" s="1711">
        <v>108</v>
      </c>
      <c r="G50" s="1711">
        <v>92</v>
      </c>
      <c r="K50" s="60" t="e">
        <f>#REF!*#REF!+#REF!*Max_Limits!#REF!+#REF!*Max_Limits!#REF!+#REF!*Max_Limits!#REF!+#REF!*Max_Limits!#REF!+#REF!*Max_Limits!#REF!</f>
        <v>#REF!</v>
      </c>
    </row>
    <row r="51" spans="1:11">
      <c r="C51" s="564"/>
      <c r="D51" s="564"/>
      <c r="E51" s="564"/>
      <c r="F51" s="564"/>
      <c r="K51" s="60" t="e">
        <f>#REF!*#REF!+#REF!*Max_Limits!#REF!+#REF!*Max_Limits!#REF!+#REF!*Max_Limits!#REF!+#REF!*Max_Limits!#REF!+#REF!*Max_Limits!#REF!</f>
        <v>#REF!</v>
      </c>
    </row>
    <row r="52" spans="1:11">
      <c r="C52" s="564"/>
      <c r="D52" s="564"/>
      <c r="E52" s="564"/>
      <c r="F52" s="564"/>
      <c r="K52" s="60" t="e">
        <f>#REF!*#REF!+#REF!*Max_Limits!#REF!+#REF!*Max_Limits!#REF!+#REF!*Max_Limits!#REF!+#REF!*Max_Limits!#REF!+#REF!*Max_Limits!#REF!</f>
        <v>#REF!</v>
      </c>
    </row>
    <row r="53" spans="1:11">
      <c r="C53" s="564"/>
      <c r="D53" s="564"/>
      <c r="E53" s="564"/>
      <c r="F53" s="564"/>
      <c r="K53" s="60" t="e">
        <f>#REF!*#REF!+#REF!*Max_Limits!#REF!+#REF!*Max_Limits!#REF!+#REF!*Max_Limits!#REF!+#REF!*Max_Limits!#REF!+#REF!*Max_Limits!#REF!</f>
        <v>#REF!</v>
      </c>
    </row>
    <row r="54" spans="1:11">
      <c r="C54" s="564"/>
      <c r="D54" s="564"/>
      <c r="E54" s="564"/>
      <c r="F54" s="564"/>
    </row>
    <row r="55" spans="1:11">
      <c r="C55" s="564"/>
      <c r="D55" s="564"/>
      <c r="E55" s="564"/>
      <c r="F55" s="564"/>
    </row>
    <row r="56" spans="1:11">
      <c r="C56" s="564"/>
      <c r="D56" s="564"/>
      <c r="E56" s="564"/>
      <c r="F56" s="564"/>
    </row>
    <row r="57" spans="1:11" s="717" customFormat="1">
      <c r="A57" s="975"/>
      <c r="B57" s="560"/>
      <c r="C57" s="564"/>
      <c r="D57" s="564"/>
      <c r="E57" s="564"/>
      <c r="F57" s="564"/>
      <c r="G57" s="560"/>
      <c r="H57" s="716"/>
      <c r="I57" s="716"/>
    </row>
    <row r="58" spans="1:11">
      <c r="B58" s="977"/>
      <c r="C58" s="564"/>
      <c r="D58" s="564"/>
      <c r="E58" s="564"/>
      <c r="F58" s="564"/>
    </row>
    <row r="59" spans="1:11">
      <c r="B59" s="977"/>
      <c r="C59" s="564"/>
      <c r="D59" s="564"/>
      <c r="E59" s="564"/>
      <c r="F59" s="564"/>
    </row>
    <row r="60" spans="1:11">
      <c r="B60" s="977"/>
      <c r="C60" s="564"/>
      <c r="D60" s="564">
        <f>'Units&amp;Income'!I51</f>
        <v>0</v>
      </c>
      <c r="E60" s="564"/>
      <c r="F60" s="564"/>
    </row>
    <row r="61" spans="1:11">
      <c r="B61" s="977"/>
      <c r="C61" s="564"/>
      <c r="D61" s="564"/>
      <c r="E61" s="564"/>
      <c r="F61" s="564"/>
    </row>
    <row r="62" spans="1:11">
      <c r="B62" s="977"/>
      <c r="C62" s="564"/>
      <c r="D62" s="564">
        <f>'Units&amp;Income'!I79</f>
        <v>0</v>
      </c>
      <c r="E62" s="564"/>
      <c r="F62" s="564"/>
    </row>
    <row r="63" spans="1:11">
      <c r="B63" s="977"/>
      <c r="C63" s="564"/>
      <c r="D63" s="564"/>
      <c r="E63" s="564"/>
      <c r="F63" s="564"/>
    </row>
    <row r="64" spans="1:11" s="718" customFormat="1">
      <c r="A64" s="975"/>
      <c r="B64" s="560"/>
      <c r="C64" s="564"/>
      <c r="D64" s="564"/>
      <c r="E64" s="564"/>
      <c r="F64" s="564"/>
      <c r="G64" s="560"/>
      <c r="H64" s="1715"/>
      <c r="I64" s="1715"/>
      <c r="J64" s="1716"/>
      <c r="K64" s="561"/>
    </row>
    <row r="65" spans="3:6">
      <c r="C65" s="564"/>
      <c r="D65" s="564"/>
      <c r="E65" s="564"/>
      <c r="F65" s="564"/>
    </row>
    <row r="66" spans="3:6">
      <c r="C66" s="564"/>
      <c r="D66" s="564"/>
      <c r="E66" s="564"/>
      <c r="F66" s="564"/>
    </row>
    <row r="67" spans="3:6">
      <c r="C67" s="564"/>
      <c r="D67" s="564"/>
      <c r="E67" s="564"/>
      <c r="F67" s="564"/>
    </row>
    <row r="68" spans="3:6">
      <c r="C68" s="564"/>
      <c r="D68" s="564"/>
      <c r="E68" s="564"/>
      <c r="F68" s="564"/>
    </row>
    <row r="69" spans="3:6">
      <c r="C69" s="564"/>
      <c r="D69" s="564"/>
      <c r="E69" s="564"/>
      <c r="F69" s="564"/>
    </row>
    <row r="70" spans="3:6">
      <c r="C70" s="564"/>
      <c r="D70" s="564"/>
      <c r="E70" s="564"/>
      <c r="F70" s="564"/>
    </row>
    <row r="71" spans="3:6">
      <c r="C71" s="564"/>
      <c r="D71" s="564"/>
      <c r="E71" s="564"/>
      <c r="F71" s="564"/>
    </row>
    <row r="72" spans="3:6">
      <c r="C72" s="564"/>
      <c r="D72" s="564"/>
      <c r="E72" s="564"/>
      <c r="F72" s="564"/>
    </row>
    <row r="73" spans="3:6">
      <c r="C73" s="564"/>
      <c r="D73" s="564"/>
      <c r="E73" s="564"/>
      <c r="F73" s="564"/>
    </row>
    <row r="74" spans="3:6">
      <c r="C74" s="564"/>
      <c r="D74" s="564"/>
      <c r="E74" s="564"/>
      <c r="F74" s="564"/>
    </row>
    <row r="75" spans="3:6">
      <c r="C75" s="564"/>
      <c r="D75" s="564"/>
      <c r="E75" s="564"/>
      <c r="F75" s="564"/>
    </row>
    <row r="76" spans="3:6">
      <c r="C76" s="564"/>
      <c r="D76" s="564"/>
      <c r="E76" s="564"/>
      <c r="F76" s="564"/>
    </row>
    <row r="77" spans="3:6">
      <c r="C77" s="564"/>
      <c r="D77" s="564"/>
      <c r="E77" s="564"/>
      <c r="F77" s="564"/>
    </row>
    <row r="78" spans="3:6">
      <c r="C78" s="564"/>
      <c r="D78" s="564"/>
      <c r="E78" s="564"/>
      <c r="F78" s="564"/>
    </row>
    <row r="79" spans="3:6">
      <c r="C79" s="564"/>
      <c r="D79" s="564"/>
      <c r="E79" s="564"/>
      <c r="F79" s="564"/>
    </row>
    <row r="80" spans="3:6">
      <c r="C80" s="564"/>
      <c r="D80" s="564"/>
      <c r="E80" s="564"/>
      <c r="F80" s="564"/>
    </row>
    <row r="81" spans="3:6">
      <c r="C81" s="564"/>
      <c r="D81" s="564"/>
      <c r="E81" s="564"/>
      <c r="F81" s="564"/>
    </row>
    <row r="82" spans="3:6">
      <c r="C82" s="564"/>
      <c r="D82" s="564"/>
      <c r="E82" s="564"/>
      <c r="F82" s="564"/>
    </row>
    <row r="83" spans="3:6">
      <c r="C83" s="564"/>
      <c r="D83" s="564"/>
      <c r="E83" s="564"/>
      <c r="F83" s="564"/>
    </row>
    <row r="84" spans="3:6">
      <c r="C84" s="564"/>
      <c r="D84" s="564"/>
      <c r="E84" s="564"/>
      <c r="F84" s="564"/>
    </row>
    <row r="85" spans="3:6">
      <c r="C85" s="564"/>
      <c r="D85" s="564"/>
      <c r="E85" s="564"/>
      <c r="F85" s="564"/>
    </row>
    <row r="86" spans="3:6">
      <c r="C86" s="564"/>
      <c r="D86" s="564"/>
      <c r="E86" s="564"/>
      <c r="F86" s="564"/>
    </row>
    <row r="87" spans="3:6">
      <c r="C87" s="564"/>
      <c r="D87" s="564"/>
      <c r="E87" s="564"/>
      <c r="F87" s="564"/>
    </row>
    <row r="88" spans="3:6">
      <c r="C88" s="564"/>
      <c r="D88" s="564"/>
      <c r="E88" s="564"/>
      <c r="F88" s="564"/>
    </row>
    <row r="89" spans="3:6">
      <c r="C89" s="564"/>
      <c r="D89" s="564"/>
      <c r="E89" s="564"/>
      <c r="F89" s="564"/>
    </row>
    <row r="90" spans="3:6">
      <c r="C90" s="564"/>
      <c r="D90" s="564"/>
      <c r="E90" s="564"/>
      <c r="F90" s="564"/>
    </row>
    <row r="91" spans="3:6">
      <c r="C91" s="564"/>
      <c r="D91" s="564"/>
      <c r="E91" s="564"/>
      <c r="F91" s="564"/>
    </row>
    <row r="92" spans="3:6">
      <c r="C92" s="564"/>
      <c r="D92" s="564"/>
      <c r="E92" s="564"/>
      <c r="F92" s="564"/>
    </row>
    <row r="93" spans="3:6">
      <c r="C93" s="564"/>
      <c r="D93" s="564"/>
      <c r="E93" s="564"/>
      <c r="F93" s="564"/>
    </row>
    <row r="94" spans="3:6">
      <c r="C94" s="564"/>
      <c r="D94" s="564"/>
      <c r="E94" s="564"/>
      <c r="F94" s="564"/>
    </row>
    <row r="95" spans="3:6">
      <c r="C95" s="564"/>
      <c r="D95" s="564"/>
      <c r="E95" s="564"/>
      <c r="F95" s="564"/>
    </row>
    <row r="96" spans="3:6">
      <c r="C96" s="564"/>
      <c r="D96" s="564"/>
      <c r="E96" s="564"/>
      <c r="F96" s="564"/>
    </row>
    <row r="97" spans="3:6">
      <c r="C97" s="564"/>
      <c r="D97" s="564"/>
      <c r="E97" s="564"/>
      <c r="F97" s="564"/>
    </row>
    <row r="98" spans="3:6">
      <c r="C98" s="564"/>
      <c r="D98" s="564"/>
      <c r="E98" s="564"/>
      <c r="F98" s="564"/>
    </row>
    <row r="99" spans="3:6">
      <c r="C99" s="564"/>
      <c r="D99" s="564"/>
      <c r="E99" s="564"/>
      <c r="F99" s="564"/>
    </row>
    <row r="100" spans="3:6">
      <c r="C100" s="564"/>
      <c r="D100" s="564"/>
      <c r="E100" s="564"/>
      <c r="F100" s="564"/>
    </row>
    <row r="101" spans="3:6">
      <c r="C101" s="564"/>
      <c r="D101" s="564"/>
      <c r="E101" s="564"/>
      <c r="F101" s="564"/>
    </row>
    <row r="102" spans="3:6">
      <c r="C102" s="564"/>
      <c r="D102" s="564"/>
      <c r="E102" s="564"/>
      <c r="F102" s="564"/>
    </row>
    <row r="103" spans="3:6">
      <c r="C103" s="564"/>
      <c r="D103" s="564"/>
      <c r="E103" s="564"/>
      <c r="F103" s="564"/>
    </row>
    <row r="104" spans="3:6">
      <c r="C104" s="564"/>
      <c r="D104" s="564"/>
      <c r="E104" s="564"/>
      <c r="F104" s="564"/>
    </row>
    <row r="105" spans="3:6">
      <c r="C105" s="564"/>
      <c r="D105" s="564"/>
      <c r="E105" s="564"/>
      <c r="F105" s="564"/>
    </row>
    <row r="106" spans="3:6">
      <c r="C106" s="564"/>
      <c r="D106" s="564"/>
      <c r="E106" s="564"/>
      <c r="F106" s="564"/>
    </row>
    <row r="107" spans="3:6">
      <c r="C107" s="564"/>
      <c r="D107" s="564"/>
      <c r="E107" s="564"/>
      <c r="F107" s="564"/>
    </row>
    <row r="108" spans="3:6">
      <c r="C108" s="564"/>
      <c r="D108" s="564"/>
      <c r="E108" s="564"/>
      <c r="F108" s="564"/>
    </row>
    <row r="109" spans="3:6">
      <c r="C109" s="564"/>
      <c r="D109" s="564"/>
      <c r="E109" s="564"/>
      <c r="F109" s="564"/>
    </row>
    <row r="110" spans="3:6">
      <c r="C110" s="564"/>
      <c r="D110" s="564"/>
      <c r="E110" s="564"/>
      <c r="F110" s="564"/>
    </row>
    <row r="111" spans="3:6">
      <c r="C111" s="564"/>
      <c r="D111" s="564"/>
      <c r="E111" s="564"/>
      <c r="F111" s="564"/>
    </row>
    <row r="112" spans="3:6">
      <c r="C112" s="564"/>
      <c r="D112" s="564"/>
      <c r="E112" s="564"/>
      <c r="F112" s="564"/>
    </row>
    <row r="113" spans="3:6">
      <c r="C113" s="564"/>
      <c r="D113" s="564"/>
      <c r="E113" s="564"/>
      <c r="F113" s="564"/>
    </row>
    <row r="114" spans="3:6">
      <c r="C114" s="564"/>
      <c r="D114" s="564"/>
      <c r="E114" s="564"/>
      <c r="F114" s="564"/>
    </row>
    <row r="115" spans="3:6">
      <c r="C115" s="564"/>
      <c r="D115" s="564"/>
      <c r="E115" s="564"/>
      <c r="F115" s="564"/>
    </row>
    <row r="116" spans="3:6">
      <c r="C116" s="564"/>
      <c r="D116" s="564"/>
      <c r="E116" s="564"/>
      <c r="F116" s="564"/>
    </row>
    <row r="117" spans="3:6">
      <c r="C117" s="564"/>
      <c r="D117" s="564"/>
      <c r="E117" s="564"/>
      <c r="F117" s="564"/>
    </row>
    <row r="118" spans="3:6">
      <c r="C118" s="564"/>
      <c r="D118" s="564"/>
      <c r="E118" s="564"/>
      <c r="F118" s="564"/>
    </row>
    <row r="119" spans="3:6">
      <c r="C119" s="564"/>
      <c r="D119" s="564"/>
      <c r="E119" s="564"/>
      <c r="F119" s="564"/>
    </row>
    <row r="120" spans="3:6">
      <c r="C120" s="564"/>
      <c r="D120" s="564"/>
      <c r="E120" s="564"/>
      <c r="F120" s="564"/>
    </row>
    <row r="121" spans="3:6">
      <c r="C121" s="564"/>
      <c r="D121" s="564"/>
      <c r="E121" s="564"/>
      <c r="F121" s="564"/>
    </row>
    <row r="122" spans="3:6">
      <c r="C122" s="564"/>
      <c r="D122" s="564"/>
      <c r="E122" s="564"/>
      <c r="F122" s="564"/>
    </row>
    <row r="123" spans="3:6">
      <c r="C123" s="564"/>
      <c r="D123" s="564"/>
      <c r="E123" s="564"/>
      <c r="F123" s="564"/>
    </row>
    <row r="124" spans="3:6">
      <c r="C124" s="564"/>
      <c r="D124" s="564"/>
      <c r="E124" s="564"/>
      <c r="F124" s="564"/>
    </row>
    <row r="125" spans="3:6">
      <c r="C125" s="564"/>
      <c r="D125" s="564"/>
      <c r="E125" s="564"/>
      <c r="F125" s="564"/>
    </row>
    <row r="126" spans="3:6">
      <c r="C126" s="564"/>
      <c r="D126" s="564"/>
      <c r="E126" s="564"/>
      <c r="F126" s="564"/>
    </row>
    <row r="127" spans="3:6">
      <c r="C127" s="564"/>
      <c r="D127" s="564"/>
      <c r="E127" s="564"/>
      <c r="F127" s="564"/>
    </row>
    <row r="128" spans="3:6">
      <c r="C128" s="564"/>
      <c r="D128" s="564"/>
      <c r="E128" s="564"/>
      <c r="F128" s="564"/>
    </row>
    <row r="129" spans="3:6">
      <c r="C129" s="564"/>
      <c r="D129" s="564"/>
      <c r="E129" s="564"/>
      <c r="F129" s="564"/>
    </row>
    <row r="130" spans="3:6">
      <c r="C130" s="564"/>
      <c r="D130" s="564"/>
      <c r="E130" s="564"/>
      <c r="F130" s="564"/>
    </row>
    <row r="131" spans="3:6">
      <c r="C131" s="564"/>
      <c r="D131" s="564"/>
      <c r="E131" s="564"/>
      <c r="F131" s="564"/>
    </row>
    <row r="132" spans="3:6">
      <c r="C132" s="564"/>
      <c r="D132" s="564"/>
      <c r="E132" s="564"/>
      <c r="F132" s="564"/>
    </row>
    <row r="133" spans="3:6">
      <c r="C133" s="564"/>
      <c r="D133" s="564"/>
      <c r="E133" s="564"/>
      <c r="F133" s="564"/>
    </row>
    <row r="134" spans="3:6">
      <c r="C134" s="564"/>
      <c r="D134" s="564"/>
      <c r="E134" s="564"/>
      <c r="F134" s="564"/>
    </row>
    <row r="135" spans="3:6">
      <c r="C135" s="564"/>
      <c r="D135" s="564"/>
      <c r="E135" s="564"/>
      <c r="F135" s="564"/>
    </row>
    <row r="136" spans="3:6">
      <c r="C136" s="564"/>
      <c r="D136" s="564"/>
      <c r="E136" s="564"/>
      <c r="F136" s="564"/>
    </row>
    <row r="137" spans="3:6">
      <c r="C137" s="564"/>
      <c r="D137" s="564"/>
      <c r="E137" s="564"/>
      <c r="F137" s="564"/>
    </row>
    <row r="138" spans="3:6">
      <c r="C138" s="564"/>
      <c r="D138" s="564"/>
      <c r="E138" s="564"/>
      <c r="F138" s="564"/>
    </row>
    <row r="139" spans="3:6">
      <c r="C139" s="564"/>
      <c r="D139" s="564"/>
      <c r="E139" s="564"/>
      <c r="F139" s="564"/>
    </row>
    <row r="140" spans="3:6">
      <c r="C140" s="564"/>
      <c r="D140" s="564"/>
      <c r="E140" s="564"/>
      <c r="F140" s="564"/>
    </row>
    <row r="141" spans="3:6">
      <c r="C141" s="564"/>
      <c r="D141" s="564"/>
      <c r="E141" s="564"/>
      <c r="F141" s="564"/>
    </row>
    <row r="142" spans="3:6">
      <c r="C142" s="564"/>
      <c r="D142" s="564"/>
      <c r="E142" s="564"/>
      <c r="F142" s="564"/>
    </row>
    <row r="143" spans="3:6">
      <c r="C143" s="564"/>
      <c r="D143" s="564"/>
      <c r="E143" s="564"/>
      <c r="F143" s="564"/>
    </row>
    <row r="144" spans="3:6">
      <c r="C144" s="564"/>
      <c r="D144" s="564"/>
      <c r="E144" s="564"/>
      <c r="F144" s="564"/>
    </row>
    <row r="145" spans="3:6">
      <c r="C145" s="564"/>
      <c r="D145" s="564"/>
      <c r="E145" s="564"/>
      <c r="F145" s="564"/>
    </row>
    <row r="146" spans="3:6">
      <c r="C146" s="564"/>
      <c r="D146" s="564"/>
      <c r="E146" s="564"/>
      <c r="F146" s="564"/>
    </row>
    <row r="147" spans="3:6">
      <c r="C147" s="564"/>
      <c r="D147" s="564"/>
      <c r="E147" s="564"/>
      <c r="F147" s="564"/>
    </row>
    <row r="148" spans="3:6">
      <c r="C148" s="564"/>
      <c r="D148" s="564"/>
      <c r="E148" s="564"/>
      <c r="F148" s="564"/>
    </row>
    <row r="149" spans="3:6">
      <c r="C149" s="564"/>
      <c r="D149" s="564"/>
      <c r="E149" s="564"/>
      <c r="F149" s="564"/>
    </row>
    <row r="150" spans="3:6">
      <c r="C150" s="564"/>
      <c r="D150" s="564"/>
      <c r="E150" s="564"/>
      <c r="F150" s="564"/>
    </row>
    <row r="151" spans="3:6">
      <c r="C151" s="564"/>
      <c r="D151" s="564"/>
      <c r="E151" s="564"/>
      <c r="F151" s="564"/>
    </row>
    <row r="152" spans="3:6">
      <c r="C152" s="564"/>
      <c r="D152" s="564"/>
      <c r="E152" s="564"/>
      <c r="F152" s="564"/>
    </row>
    <row r="153" spans="3:6">
      <c r="F153" s="564"/>
    </row>
    <row r="154" spans="3:6">
      <c r="F154" s="564"/>
    </row>
    <row r="155" spans="3:6">
      <c r="F155" s="564"/>
    </row>
    <row r="156" spans="3:6">
      <c r="F156" s="564"/>
    </row>
    <row r="157" spans="3:6">
      <c r="F157" s="564"/>
    </row>
    <row r="158" spans="3:6">
      <c r="F158" s="564"/>
    </row>
  </sheetData>
  <sheetProtection algorithmName="SHA-512" hashValue="fZ/Lvt+IsLH8HCvHEgeqSVxVrTCQADWvnbSpq4eLqOIH+sGem5vw8ohVttrmppV5/G3EuE7ZdIX68oecBKhnJg==" saltValue="W/YEeAaYhyJkyDtwa92O8g==" spinCount="100000" sheet="1" objects="1" scenarios="1"/>
  <mergeCells count="8">
    <mergeCell ref="B4:I4"/>
    <mergeCell ref="B5:I5"/>
    <mergeCell ref="A45:A50"/>
    <mergeCell ref="B18:D18"/>
    <mergeCell ref="A33:A38"/>
    <mergeCell ref="A39:A44"/>
    <mergeCell ref="A29:G29"/>
    <mergeCell ref="A30:G30"/>
  </mergeCells>
  <phoneticPr fontId="53" type="noConversion"/>
  <pageMargins left="0.48" right="0.44" top="0.7" bottom="0.59" header="0.27" footer="0.35"/>
  <pageSetup scale="80" orientation="portrait" horizontalDpi="1200" verticalDpi="1200" r:id="rId1"/>
  <headerFooter alignWithMargins="0">
    <oddHeader>&amp;C&amp;12Median Incomes, Fair Market Rents, and Maximum HOME Subsidy Amounts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Z143"/>
  <sheetViews>
    <sheetView topLeftCell="X1" workbookViewId="0">
      <selection activeCell="AC22" sqref="AC22"/>
    </sheetView>
  </sheetViews>
  <sheetFormatPr defaultColWidth="8.85546875" defaultRowHeight="12.75"/>
  <cols>
    <col min="1" max="1" width="9.28515625" hidden="1" customWidth="1"/>
    <col min="2" max="2" width="11" hidden="1" customWidth="1"/>
    <col min="3" max="3" width="3.28515625" hidden="1" customWidth="1"/>
    <col min="4" max="4" width="24" hidden="1" customWidth="1"/>
    <col min="5" max="5" width="4.140625" hidden="1" customWidth="1"/>
    <col min="6" max="6" width="3.42578125" hidden="1" customWidth="1"/>
    <col min="7" max="7" width="24" hidden="1" customWidth="1"/>
    <col min="8" max="8" width="4.42578125" hidden="1" customWidth="1"/>
    <col min="9" max="9" width="8.7109375" hidden="1" customWidth="1"/>
    <col min="10" max="10" width="9" hidden="1" customWidth="1"/>
    <col min="11" max="11" width="11" hidden="1" customWidth="1"/>
    <col min="12" max="12" width="1.85546875" hidden="1" customWidth="1"/>
    <col min="13" max="13" width="24" hidden="1" customWidth="1"/>
    <col min="14" max="14" width="11" hidden="1" customWidth="1"/>
    <col min="15" max="15" width="4.42578125" hidden="1" customWidth="1"/>
    <col min="16" max="16" width="24" hidden="1" customWidth="1"/>
    <col min="17" max="17" width="11" hidden="1" customWidth="1"/>
    <col min="18" max="18" width="2.42578125" hidden="1" customWidth="1"/>
    <col min="19" max="19" width="24" hidden="1" customWidth="1"/>
    <col min="20" max="20" width="11" hidden="1" customWidth="1"/>
    <col min="21" max="21" width="1.7109375" hidden="1" customWidth="1"/>
    <col min="22" max="22" width="24" hidden="1" customWidth="1"/>
    <col min="23" max="23" width="11" hidden="1" customWidth="1"/>
    <col min="24" max="24" width="1.42578125" customWidth="1"/>
    <col min="25" max="25" width="8.7109375" customWidth="1"/>
    <col min="26" max="26" width="24" customWidth="1"/>
    <col min="27" max="27" width="11" customWidth="1"/>
    <col min="28" max="28" width="3.140625" customWidth="1"/>
    <col min="29" max="29" width="24" customWidth="1"/>
    <col min="30" max="30" width="11" customWidth="1"/>
    <col min="31" max="31" width="2.42578125" customWidth="1"/>
    <col min="32" max="32" width="24" customWidth="1"/>
    <col min="33" max="33" width="11" customWidth="1"/>
    <col min="34" max="34" width="3" customWidth="1"/>
    <col min="35" max="35" width="24" customWidth="1"/>
    <col min="36" max="36" width="11" customWidth="1"/>
    <col min="37" max="37" width="2.28515625" customWidth="1"/>
    <col min="38" max="38" width="24" customWidth="1"/>
    <col min="39" max="39" width="11" customWidth="1"/>
    <col min="40" max="40" width="3.140625" customWidth="1"/>
    <col min="41" max="41" width="24" customWidth="1"/>
    <col min="42" max="42" width="11" customWidth="1"/>
    <col min="43" max="178" width="24" customWidth="1"/>
  </cols>
  <sheetData>
    <row r="1" spans="1:26" ht="12.75" customHeight="1">
      <c r="A1" s="2137" t="s">
        <v>1121</v>
      </c>
      <c r="B1" t="s">
        <v>1122</v>
      </c>
      <c r="G1" t="s">
        <v>145</v>
      </c>
      <c r="J1" s="1095" t="s">
        <v>1123</v>
      </c>
      <c r="M1" s="547" t="s">
        <v>1124</v>
      </c>
      <c r="P1" s="547" t="s">
        <v>1125</v>
      </c>
      <c r="S1" s="547" t="s">
        <v>1126</v>
      </c>
      <c r="Y1" s="547" t="s">
        <v>1127</v>
      </c>
      <c r="Z1" s="547" t="s">
        <v>164</v>
      </c>
    </row>
    <row r="2" spans="1:26">
      <c r="A2" s="2137"/>
      <c r="B2" t="s">
        <v>162</v>
      </c>
      <c r="G2" t="s">
        <v>130</v>
      </c>
      <c r="J2" t="s">
        <v>1128</v>
      </c>
      <c r="M2" t="s">
        <v>134</v>
      </c>
      <c r="N2" t="s">
        <v>180</v>
      </c>
      <c r="P2" t="s">
        <v>1129</v>
      </c>
      <c r="S2" t="s">
        <v>665</v>
      </c>
      <c r="Y2" t="s">
        <v>160</v>
      </c>
      <c r="Z2" s="1093" t="s">
        <v>1130</v>
      </c>
    </row>
    <row r="3" spans="1:26">
      <c r="A3" s="2137"/>
      <c r="B3" t="s">
        <v>1131</v>
      </c>
      <c r="J3" t="s">
        <v>1132</v>
      </c>
      <c r="M3" t="s">
        <v>1133</v>
      </c>
      <c r="N3" t="s">
        <v>180</v>
      </c>
      <c r="P3" t="s">
        <v>150</v>
      </c>
      <c r="S3" t="s">
        <v>185</v>
      </c>
      <c r="Y3" t="s">
        <v>1134</v>
      </c>
      <c r="Z3" s="672" t="s">
        <v>1135</v>
      </c>
    </row>
    <row r="4" spans="1:26">
      <c r="J4" t="s">
        <v>1136</v>
      </c>
      <c r="M4" t="s">
        <v>1137</v>
      </c>
      <c r="N4" t="s">
        <v>180</v>
      </c>
      <c r="P4" t="s">
        <v>1138</v>
      </c>
      <c r="S4" t="s">
        <v>1139</v>
      </c>
      <c r="Y4" t="s">
        <v>1140</v>
      </c>
      <c r="Z4" s="672" t="s">
        <v>1141</v>
      </c>
    </row>
    <row r="5" spans="1:26">
      <c r="A5" s="547" t="s">
        <v>1142</v>
      </c>
      <c r="D5" t="s">
        <v>273</v>
      </c>
      <c r="J5" t="s">
        <v>1143</v>
      </c>
      <c r="M5" t="s">
        <v>1144</v>
      </c>
      <c r="N5" t="s">
        <v>180</v>
      </c>
      <c r="P5" t="s">
        <v>1145</v>
      </c>
      <c r="S5" t="s">
        <v>1146</v>
      </c>
      <c r="Y5" t="s">
        <v>1147</v>
      </c>
      <c r="Z5" s="1093" t="s">
        <v>1148</v>
      </c>
    </row>
    <row r="6" spans="1:26">
      <c r="A6" t="s">
        <v>208</v>
      </c>
      <c r="D6" t="s">
        <v>276</v>
      </c>
      <c r="G6" t="s">
        <v>1149</v>
      </c>
      <c r="J6" t="s">
        <v>1150</v>
      </c>
      <c r="M6" t="s">
        <v>1151</v>
      </c>
      <c r="Y6" t="s">
        <v>1152</v>
      </c>
      <c r="Z6" s="672" t="s">
        <v>1153</v>
      </c>
    </row>
    <row r="7" spans="1:26">
      <c r="A7" t="s">
        <v>1154</v>
      </c>
      <c r="D7" t="s">
        <v>1155</v>
      </c>
      <c r="G7" t="s">
        <v>1156</v>
      </c>
      <c r="J7" t="s">
        <v>1157</v>
      </c>
      <c r="Y7" t="s">
        <v>1158</v>
      </c>
      <c r="Z7" s="672" t="s">
        <v>1159</v>
      </c>
    </row>
    <row r="8" spans="1:26">
      <c r="A8" t="s">
        <v>646</v>
      </c>
      <c r="D8" t="s">
        <v>1160</v>
      </c>
      <c r="J8" t="s">
        <v>234</v>
      </c>
      <c r="Y8" t="s">
        <v>1161</v>
      </c>
      <c r="Z8" s="672" t="s">
        <v>1162</v>
      </c>
    </row>
    <row r="9" spans="1:26">
      <c r="D9" t="s">
        <v>302</v>
      </c>
      <c r="Y9" t="s">
        <v>1163</v>
      </c>
      <c r="Z9" s="672" t="s">
        <v>1164</v>
      </c>
    </row>
    <row r="10" spans="1:26" s="285" customFormat="1" ht="13.5" thickBot="1">
      <c r="A10" s="482"/>
      <c r="B10" s="482"/>
      <c r="C10" s="482"/>
      <c r="D10" s="482"/>
      <c r="E10" s="482"/>
      <c r="F10" s="482"/>
      <c r="G10" s="482"/>
      <c r="H10" s="482"/>
      <c r="I10" s="482"/>
      <c r="J10" s="482"/>
      <c r="K10" s="482"/>
      <c r="L10" s="482"/>
      <c r="M10" s="482"/>
      <c r="N10" s="482"/>
      <c r="O10" s="482"/>
      <c r="P10" s="482"/>
      <c r="Q10" s="482"/>
      <c r="R10" s="482"/>
      <c r="S10" s="482"/>
      <c r="T10" s="482"/>
      <c r="U10" s="482"/>
      <c r="V10" s="482"/>
      <c r="Y10" t="s">
        <v>1165</v>
      </c>
      <c r="Z10" s="672" t="s">
        <v>1166</v>
      </c>
    </row>
    <row r="11" spans="1:26" s="547" customFormat="1" ht="13.5" thickTop="1">
      <c r="G11" s="547" t="s">
        <v>1167</v>
      </c>
      <c r="I11" s="547" t="s">
        <v>1168</v>
      </c>
      <c r="J11" s="548" t="s">
        <v>557</v>
      </c>
      <c r="M11" s="547" t="s">
        <v>1169</v>
      </c>
      <c r="N11" s="547" t="s">
        <v>1170</v>
      </c>
      <c r="P11" s="547" t="s">
        <v>1171</v>
      </c>
      <c r="Y11" t="s">
        <v>1172</v>
      </c>
      <c r="Z11" s="672" t="s">
        <v>1173</v>
      </c>
    </row>
    <row r="12" spans="1:26">
      <c r="G12" s="549" t="s">
        <v>1174</v>
      </c>
      <c r="I12" t="s">
        <v>802</v>
      </c>
      <c r="J12">
        <v>2000</v>
      </c>
      <c r="M12" t="s">
        <v>1175</v>
      </c>
      <c r="N12" t="s">
        <v>273</v>
      </c>
      <c r="P12" t="s">
        <v>137</v>
      </c>
      <c r="Y12" t="s">
        <v>1176</v>
      </c>
      <c r="Z12" s="672" t="s">
        <v>1177</v>
      </c>
    </row>
    <row r="13" spans="1:26">
      <c r="D13" t="s">
        <v>273</v>
      </c>
      <c r="G13" s="549" t="s">
        <v>1178</v>
      </c>
      <c r="I13" t="s">
        <v>166</v>
      </c>
      <c r="J13">
        <v>2001</v>
      </c>
      <c r="M13" t="s">
        <v>1179</v>
      </c>
      <c r="N13" t="s">
        <v>276</v>
      </c>
      <c r="P13" t="s">
        <v>1180</v>
      </c>
      <c r="Y13" t="s">
        <v>1181</v>
      </c>
      <c r="Z13" s="672" t="s">
        <v>1182</v>
      </c>
    </row>
    <row r="14" spans="1:26">
      <c r="D14" t="s">
        <v>276</v>
      </c>
      <c r="G14" s="549" t="s">
        <v>1183</v>
      </c>
      <c r="I14" t="s">
        <v>803</v>
      </c>
      <c r="J14">
        <v>2002</v>
      </c>
      <c r="M14" t="s">
        <v>19</v>
      </c>
      <c r="N14" t="s">
        <v>583</v>
      </c>
      <c r="P14" t="s">
        <v>1184</v>
      </c>
      <c r="Y14" t="s">
        <v>1185</v>
      </c>
      <c r="Z14" s="672" t="s">
        <v>1186</v>
      </c>
    </row>
    <row r="15" spans="1:26">
      <c r="D15" t="s">
        <v>1155</v>
      </c>
      <c r="E15" s="549"/>
      <c r="G15" s="549" t="s">
        <v>1187</v>
      </c>
      <c r="I15" t="s">
        <v>804</v>
      </c>
      <c r="J15">
        <v>2003</v>
      </c>
      <c r="M15" t="s">
        <v>557</v>
      </c>
      <c r="Y15" t="s">
        <v>1188</v>
      </c>
      <c r="Z15" s="672" t="s">
        <v>1189</v>
      </c>
    </row>
    <row r="16" spans="1:26">
      <c r="D16" t="s">
        <v>1160</v>
      </c>
      <c r="E16" s="549"/>
      <c r="G16" s="549" t="s">
        <v>1190</v>
      </c>
      <c r="I16" t="s">
        <v>805</v>
      </c>
      <c r="J16">
        <v>2004</v>
      </c>
      <c r="Y16" t="s">
        <v>1191</v>
      </c>
      <c r="Z16" s="672" t="s">
        <v>1192</v>
      </c>
    </row>
    <row r="17" spans="5:26">
      <c r="E17" s="549"/>
      <c r="G17" s="549" t="s">
        <v>1193</v>
      </c>
      <c r="I17" t="s">
        <v>806</v>
      </c>
      <c r="J17">
        <v>2005</v>
      </c>
      <c r="Y17" t="s">
        <v>1194</v>
      </c>
      <c r="Z17" s="1093" t="s">
        <v>1195</v>
      </c>
    </row>
    <row r="18" spans="5:26">
      <c r="E18" s="549"/>
      <c r="G18" s="549" t="s">
        <v>1196</v>
      </c>
      <c r="I18" t="s">
        <v>807</v>
      </c>
      <c r="J18">
        <v>2006</v>
      </c>
      <c r="Y18" t="s">
        <v>1197</v>
      </c>
      <c r="Z18" s="672" t="s">
        <v>1198</v>
      </c>
    </row>
    <row r="19" spans="5:26">
      <c r="E19" s="549"/>
      <c r="G19" s="549" t="s">
        <v>1199</v>
      </c>
      <c r="I19" t="s">
        <v>808</v>
      </c>
      <c r="J19">
        <v>2007</v>
      </c>
      <c r="M19" s="548" t="s">
        <v>1200</v>
      </c>
      <c r="P19" s="547" t="s">
        <v>1201</v>
      </c>
      <c r="Y19" t="s">
        <v>1202</v>
      </c>
      <c r="Z19" s="672" t="s">
        <v>1203</v>
      </c>
    </row>
    <row r="20" spans="5:26">
      <c r="E20" s="549"/>
      <c r="G20" s="549" t="s">
        <v>1204</v>
      </c>
      <c r="I20" t="s">
        <v>809</v>
      </c>
      <c r="J20">
        <v>2008</v>
      </c>
      <c r="M20" s="550">
        <v>0.3</v>
      </c>
      <c r="P20" t="s">
        <v>180</v>
      </c>
      <c r="Y20" t="s">
        <v>1205</v>
      </c>
      <c r="Z20" s="672" t="s">
        <v>1206</v>
      </c>
    </row>
    <row r="21" spans="5:26">
      <c r="E21" s="549"/>
      <c r="G21" s="549" t="s">
        <v>1207</v>
      </c>
      <c r="I21" t="s">
        <v>810</v>
      </c>
      <c r="J21">
        <v>2009</v>
      </c>
      <c r="M21" s="550">
        <v>0.4</v>
      </c>
      <c r="P21" t="s">
        <v>1208</v>
      </c>
      <c r="S21" t="s">
        <v>1209</v>
      </c>
      <c r="Y21" t="s">
        <v>1210</v>
      </c>
      <c r="Z21" s="1093" t="s">
        <v>1211</v>
      </c>
    </row>
    <row r="22" spans="5:26">
      <c r="E22" s="549"/>
      <c r="G22" s="549" t="s">
        <v>1212</v>
      </c>
      <c r="I22" t="s">
        <v>811</v>
      </c>
      <c r="J22">
        <v>2010</v>
      </c>
      <c r="M22" s="550">
        <v>0.5</v>
      </c>
      <c r="P22" t="s">
        <v>1213</v>
      </c>
      <c r="S22" t="s">
        <v>1214</v>
      </c>
      <c r="Y22" t="s">
        <v>1215</v>
      </c>
      <c r="Z22" s="672" t="s">
        <v>1216</v>
      </c>
    </row>
    <row r="23" spans="5:26">
      <c r="E23" s="549"/>
      <c r="G23" s="549" t="s">
        <v>1217</v>
      </c>
      <c r="I23" t="s">
        <v>812</v>
      </c>
      <c r="J23">
        <v>2011</v>
      </c>
      <c r="M23" s="550">
        <v>0.6</v>
      </c>
      <c r="Y23" t="s">
        <v>1218</v>
      </c>
      <c r="Z23" s="1093" t="s">
        <v>1219</v>
      </c>
    </row>
    <row r="24" spans="5:26">
      <c r="E24" s="549"/>
      <c r="G24" s="549" t="s">
        <v>1220</v>
      </c>
      <c r="J24">
        <v>2012</v>
      </c>
      <c r="M24" s="550">
        <v>0.8</v>
      </c>
      <c r="Y24" t="s">
        <v>1221</v>
      </c>
      <c r="Z24" s="1093" t="s">
        <v>1222</v>
      </c>
    </row>
    <row r="25" spans="5:26">
      <c r="E25" s="549"/>
      <c r="G25" s="549" t="s">
        <v>1223</v>
      </c>
      <c r="J25">
        <v>2013</v>
      </c>
      <c r="M25" s="281" t="s">
        <v>186</v>
      </c>
      <c r="Y25" t="s">
        <v>1224</v>
      </c>
      <c r="Z25" s="672" t="s">
        <v>1225</v>
      </c>
    </row>
    <row r="26" spans="5:26">
      <c r="E26" s="549"/>
      <c r="G26" s="549" t="s">
        <v>1226</v>
      </c>
      <c r="J26">
        <v>2014</v>
      </c>
      <c r="Y26" t="s">
        <v>1227</v>
      </c>
      <c r="Z26" s="1093" t="s">
        <v>1228</v>
      </c>
    </row>
    <row r="27" spans="5:26">
      <c r="E27" s="549"/>
      <c r="G27" s="549" t="s">
        <v>1229</v>
      </c>
      <c r="J27">
        <v>2015</v>
      </c>
      <c r="Y27" t="s">
        <v>1230</v>
      </c>
      <c r="Z27" s="672" t="s">
        <v>1231</v>
      </c>
    </row>
    <row r="28" spans="5:26">
      <c r="E28" s="549"/>
      <c r="G28" s="549" t="s">
        <v>1232</v>
      </c>
      <c r="J28">
        <v>2016</v>
      </c>
      <c r="Y28" t="s">
        <v>1233</v>
      </c>
      <c r="Z28" s="672" t="s">
        <v>1234</v>
      </c>
    </row>
    <row r="29" spans="5:26">
      <c r="E29" s="549"/>
      <c r="G29" s="549" t="s">
        <v>1235</v>
      </c>
      <c r="J29">
        <v>2017</v>
      </c>
      <c r="Y29" t="s">
        <v>1236</v>
      </c>
      <c r="Z29" s="672" t="s">
        <v>1237</v>
      </c>
    </row>
    <row r="30" spans="5:26">
      <c r="E30" s="549"/>
      <c r="G30" s="549" t="s">
        <v>1238</v>
      </c>
      <c r="J30">
        <v>2018</v>
      </c>
      <c r="Y30" t="s">
        <v>1239</v>
      </c>
      <c r="Z30" s="672" t="s">
        <v>1240</v>
      </c>
    </row>
    <row r="31" spans="5:26">
      <c r="E31" s="549"/>
      <c r="G31" s="549" t="s">
        <v>1241</v>
      </c>
      <c r="J31">
        <v>2019</v>
      </c>
      <c r="Y31" t="s">
        <v>1242</v>
      </c>
      <c r="Z31" s="672" t="s">
        <v>1243</v>
      </c>
    </row>
    <row r="32" spans="5:26">
      <c r="E32" s="549"/>
      <c r="G32" s="549" t="s">
        <v>1244</v>
      </c>
      <c r="J32">
        <v>2020</v>
      </c>
      <c r="Y32" t="s">
        <v>1245</v>
      </c>
      <c r="Z32" s="1093" t="s">
        <v>1246</v>
      </c>
    </row>
    <row r="33" spans="5:26">
      <c r="E33" s="549"/>
      <c r="G33" s="549" t="s">
        <v>1247</v>
      </c>
      <c r="J33">
        <v>2021</v>
      </c>
      <c r="Y33" t="s">
        <v>1248</v>
      </c>
      <c r="Z33" s="672" t="s">
        <v>1249</v>
      </c>
    </row>
    <row r="34" spans="5:26">
      <c r="E34" s="549"/>
      <c r="G34" s="549" t="s">
        <v>1250</v>
      </c>
      <c r="J34">
        <v>2022</v>
      </c>
      <c r="V34" t="s">
        <v>1251</v>
      </c>
      <c r="Y34" t="s">
        <v>1252</v>
      </c>
      <c r="Z34" s="1093" t="s">
        <v>1253</v>
      </c>
    </row>
    <row r="35" spans="5:26">
      <c r="E35" s="549"/>
      <c r="G35" s="549" t="s">
        <v>1254</v>
      </c>
      <c r="J35">
        <v>2023</v>
      </c>
      <c r="V35" s="551" t="s">
        <v>1255</v>
      </c>
      <c r="W35" s="552"/>
      <c r="Y35" t="s">
        <v>1256</v>
      </c>
      <c r="Z35" s="672" t="s">
        <v>1257</v>
      </c>
    </row>
    <row r="36" spans="5:26">
      <c r="E36" s="549"/>
      <c r="G36" s="549" t="s">
        <v>1258</v>
      </c>
      <c r="J36">
        <v>2024</v>
      </c>
      <c r="V36" s="551" t="s">
        <v>1259</v>
      </c>
      <c r="Y36" t="s">
        <v>1260</v>
      </c>
      <c r="Z36" s="672" t="s">
        <v>1261</v>
      </c>
    </row>
    <row r="37" spans="5:26">
      <c r="E37" s="549"/>
      <c r="G37" s="549" t="s">
        <v>1262</v>
      </c>
      <c r="J37">
        <v>2025</v>
      </c>
      <c r="V37" s="551" t="s">
        <v>148</v>
      </c>
      <c r="Y37" t="s">
        <v>1263</v>
      </c>
      <c r="Z37" s="672" t="s">
        <v>1264</v>
      </c>
    </row>
    <row r="38" spans="5:26">
      <c r="E38" s="549"/>
      <c r="G38" s="549" t="s">
        <v>1265</v>
      </c>
      <c r="J38">
        <v>2026</v>
      </c>
      <c r="M38" s="1340" t="s">
        <v>1266</v>
      </c>
      <c r="V38" s="551" t="s">
        <v>1267</v>
      </c>
      <c r="Y38" t="s">
        <v>1268</v>
      </c>
      <c r="Z38" s="672" t="s">
        <v>1269</v>
      </c>
    </row>
    <row r="39" spans="5:26">
      <c r="E39" s="549"/>
      <c r="G39" s="549" t="s">
        <v>1270</v>
      </c>
      <c r="J39">
        <v>2027</v>
      </c>
      <c r="M39" t="s">
        <v>208</v>
      </c>
      <c r="V39" s="551" t="s">
        <v>1271</v>
      </c>
      <c r="Y39" t="s">
        <v>1272</v>
      </c>
      <c r="Z39" s="672" t="s">
        <v>1273</v>
      </c>
    </row>
    <row r="40" spans="5:26">
      <c r="E40" s="549"/>
      <c r="G40" s="549" t="s">
        <v>1274</v>
      </c>
      <c r="J40">
        <v>2028</v>
      </c>
      <c r="M40" t="s">
        <v>644</v>
      </c>
      <c r="V40" s="551" t="s">
        <v>1275</v>
      </c>
      <c r="Y40" t="s">
        <v>1276</v>
      </c>
      <c r="Z40" s="1093" t="s">
        <v>1277</v>
      </c>
    </row>
    <row r="41" spans="5:26">
      <c r="E41" s="549"/>
      <c r="G41" s="549" t="s">
        <v>1278</v>
      </c>
      <c r="J41">
        <v>2029</v>
      </c>
      <c r="M41" t="s">
        <v>646</v>
      </c>
      <c r="V41" s="551" t="s">
        <v>1279</v>
      </c>
      <c r="Y41" t="s">
        <v>1280</v>
      </c>
      <c r="Z41" s="1093" t="s">
        <v>1281</v>
      </c>
    </row>
    <row r="42" spans="5:26">
      <c r="E42" s="549"/>
      <c r="G42" s="549" t="s">
        <v>1282</v>
      </c>
      <c r="J42">
        <v>2030</v>
      </c>
      <c r="M42" t="s">
        <v>43</v>
      </c>
      <c r="V42" s="551" t="s">
        <v>1283</v>
      </c>
      <c r="Y42" t="s">
        <v>1284</v>
      </c>
      <c r="Z42" s="672" t="s">
        <v>1285</v>
      </c>
    </row>
    <row r="43" spans="5:26">
      <c r="E43" s="549"/>
      <c r="G43" s="549" t="s">
        <v>1286</v>
      </c>
      <c r="V43" s="551" t="s">
        <v>1287</v>
      </c>
      <c r="Y43" t="s">
        <v>1288</v>
      </c>
      <c r="Z43" s="672" t="s">
        <v>1289</v>
      </c>
    </row>
    <row r="44" spans="5:26">
      <c r="E44" s="549"/>
      <c r="G44" s="549" t="s">
        <v>1290</v>
      </c>
      <c r="V44" s="551" t="s">
        <v>1291</v>
      </c>
      <c r="Y44" t="s">
        <v>1292</v>
      </c>
      <c r="Z44" s="672" t="s">
        <v>1293</v>
      </c>
    </row>
    <row r="45" spans="5:26">
      <c r="E45" s="549"/>
      <c r="G45" s="549" t="s">
        <v>1294</v>
      </c>
      <c r="V45" s="551" t="s">
        <v>1295</v>
      </c>
      <c r="Y45" t="s">
        <v>1296</v>
      </c>
      <c r="Z45" s="672" t="s">
        <v>1297</v>
      </c>
    </row>
    <row r="46" spans="5:26">
      <c r="E46" s="549"/>
      <c r="G46" s="549" t="s">
        <v>1298</v>
      </c>
      <c r="V46" s="553"/>
      <c r="Y46" t="s">
        <v>1299</v>
      </c>
      <c r="Z46" s="1093" t="s">
        <v>1300</v>
      </c>
    </row>
    <row r="47" spans="5:26">
      <c r="E47" s="549"/>
      <c r="G47" s="549" t="s">
        <v>1301</v>
      </c>
      <c r="Y47" t="s">
        <v>1302</v>
      </c>
      <c r="Z47" s="672" t="s">
        <v>1303</v>
      </c>
    </row>
    <row r="48" spans="5:26">
      <c r="E48" s="549"/>
      <c r="G48" s="549" t="s">
        <v>1304</v>
      </c>
      <c r="M48" s="1095" t="s">
        <v>990</v>
      </c>
      <c r="P48" t="s">
        <v>1305</v>
      </c>
      <c r="Y48" t="s">
        <v>1306</v>
      </c>
      <c r="Z48" s="1093" t="s">
        <v>1307</v>
      </c>
    </row>
    <row r="49" spans="1:26">
      <c r="E49" s="549"/>
      <c r="G49" s="549" t="s">
        <v>1308</v>
      </c>
      <c r="M49" t="s">
        <v>974</v>
      </c>
      <c r="P49" s="554">
        <v>0</v>
      </c>
      <c r="Y49" t="s">
        <v>1309</v>
      </c>
      <c r="Z49" s="672" t="s">
        <v>1310</v>
      </c>
    </row>
    <row r="50" spans="1:26">
      <c r="E50" s="549"/>
      <c r="G50" s="549" t="s">
        <v>1311</v>
      </c>
      <c r="M50" t="s">
        <v>243</v>
      </c>
      <c r="P50" s="554">
        <v>0.01</v>
      </c>
      <c r="Y50" t="s">
        <v>1312</v>
      </c>
      <c r="Z50" s="1093" t="s">
        <v>1313</v>
      </c>
    </row>
    <row r="51" spans="1:26">
      <c r="E51" s="549"/>
      <c r="G51" s="555" t="s">
        <v>1314</v>
      </c>
      <c r="M51" t="s">
        <v>1315</v>
      </c>
      <c r="P51" s="554">
        <v>0.02</v>
      </c>
      <c r="Y51" t="s">
        <v>1316</v>
      </c>
      <c r="Z51" s="672" t="s">
        <v>1317</v>
      </c>
    </row>
    <row r="52" spans="1:26">
      <c r="E52" s="549"/>
      <c r="G52" s="549" t="s">
        <v>1318</v>
      </c>
      <c r="P52" s="556">
        <v>2.5000000000000001E-2</v>
      </c>
    </row>
    <row r="53" spans="1:26">
      <c r="E53" s="549"/>
      <c r="G53" s="549" t="s">
        <v>1319</v>
      </c>
      <c r="P53" s="554">
        <v>0.03</v>
      </c>
    </row>
    <row r="54" spans="1:26">
      <c r="E54" s="549"/>
      <c r="G54" s="549" t="s">
        <v>1320</v>
      </c>
      <c r="P54" s="556">
        <v>3.5000000000000003E-2</v>
      </c>
    </row>
    <row r="55" spans="1:26">
      <c r="E55" s="549"/>
      <c r="G55" s="549" t="s">
        <v>1321</v>
      </c>
      <c r="P55" s="554">
        <v>0.04</v>
      </c>
    </row>
    <row r="56" spans="1:26">
      <c r="E56" s="549"/>
      <c r="G56" s="549" t="s">
        <v>1322</v>
      </c>
    </row>
    <row r="57" spans="1:26">
      <c r="E57" s="549"/>
      <c r="G57" s="549" t="s">
        <v>1323</v>
      </c>
    </row>
    <row r="58" spans="1:26">
      <c r="E58" s="549"/>
      <c r="G58" s="549" t="s">
        <v>1324</v>
      </c>
    </row>
    <row r="59" spans="1:26">
      <c r="E59" s="549"/>
      <c r="G59" s="549" t="s">
        <v>1325</v>
      </c>
    </row>
    <row r="60" spans="1:26">
      <c r="E60" s="549"/>
      <c r="G60" s="549" t="s">
        <v>1326</v>
      </c>
    </row>
    <row r="61" spans="1:26">
      <c r="E61" s="549"/>
      <c r="G61" s="549" t="s">
        <v>1327</v>
      </c>
    </row>
    <row r="62" spans="1:26">
      <c r="E62" s="555"/>
      <c r="G62" s="549" t="s">
        <v>1328</v>
      </c>
    </row>
    <row r="63" spans="1:26">
      <c r="E63" s="555"/>
      <c r="G63" s="549" t="s">
        <v>1329</v>
      </c>
    </row>
    <row r="64" spans="1:26" hidden="1">
      <c r="A64" s="547" t="s">
        <v>1330</v>
      </c>
      <c r="D64" s="547" t="s">
        <v>1331</v>
      </c>
      <c r="G64" s="549" t="s">
        <v>1332</v>
      </c>
      <c r="M64" t="s">
        <v>1333</v>
      </c>
      <c r="P64" t="s">
        <v>1334</v>
      </c>
      <c r="S64" t="s">
        <v>1335</v>
      </c>
      <c r="V64" t="s">
        <v>1336</v>
      </c>
      <c r="Y64" t="s">
        <v>25</v>
      </c>
    </row>
    <row r="65" spans="1:25" hidden="1">
      <c r="A65" t="s">
        <v>636</v>
      </c>
      <c r="D65" t="s">
        <v>636</v>
      </c>
      <c r="G65" s="549" t="s">
        <v>1337</v>
      </c>
      <c r="I65" t="s">
        <v>1338</v>
      </c>
      <c r="M65">
        <v>0</v>
      </c>
      <c r="P65">
        <v>0</v>
      </c>
      <c r="S65">
        <v>0</v>
      </c>
      <c r="V65">
        <v>0</v>
      </c>
      <c r="Y65">
        <v>0</v>
      </c>
    </row>
    <row r="66" spans="1:25" hidden="1">
      <c r="A66" t="s">
        <v>638</v>
      </c>
      <c r="D66" t="s">
        <v>638</v>
      </c>
      <c r="G66" s="549" t="s">
        <v>1339</v>
      </c>
      <c r="I66" s="557">
        <v>0</v>
      </c>
      <c r="M66">
        <v>1</v>
      </c>
      <c r="P66">
        <v>1</v>
      </c>
      <c r="S66">
        <v>1</v>
      </c>
      <c r="V66">
        <v>1</v>
      </c>
      <c r="Y66">
        <v>1</v>
      </c>
    </row>
    <row r="67" spans="1:25" hidden="1">
      <c r="A67" t="s">
        <v>1340</v>
      </c>
      <c r="D67" t="s">
        <v>1341</v>
      </c>
      <c r="G67" s="549" t="s">
        <v>1342</v>
      </c>
      <c r="I67">
        <v>1</v>
      </c>
      <c r="M67">
        <v>2</v>
      </c>
      <c r="P67">
        <v>2</v>
      </c>
      <c r="S67">
        <v>2</v>
      </c>
      <c r="V67">
        <v>2</v>
      </c>
      <c r="Y67">
        <v>2</v>
      </c>
    </row>
    <row r="68" spans="1:25" hidden="1">
      <c r="A68" t="s">
        <v>1343</v>
      </c>
      <c r="D68" t="s">
        <v>870</v>
      </c>
      <c r="G68" s="549" t="s">
        <v>1344</v>
      </c>
      <c r="I68" s="558">
        <v>2</v>
      </c>
      <c r="M68">
        <v>3</v>
      </c>
      <c r="P68">
        <v>3</v>
      </c>
      <c r="S68">
        <v>3</v>
      </c>
      <c r="Y68">
        <v>3</v>
      </c>
    </row>
    <row r="69" spans="1:25" hidden="1">
      <c r="A69" t="s">
        <v>635</v>
      </c>
      <c r="D69" t="s">
        <v>633</v>
      </c>
      <c r="G69" s="549" t="s">
        <v>1345</v>
      </c>
      <c r="I69" s="558">
        <v>3</v>
      </c>
      <c r="M69">
        <v>4</v>
      </c>
      <c r="P69">
        <v>4</v>
      </c>
      <c r="S69">
        <v>4</v>
      </c>
    </row>
    <row r="70" spans="1:25">
      <c r="A70" t="s">
        <v>1346</v>
      </c>
      <c r="D70" t="s">
        <v>650</v>
      </c>
      <c r="G70" s="549" t="s">
        <v>1347</v>
      </c>
      <c r="I70" s="558">
        <v>4</v>
      </c>
      <c r="M70">
        <v>5</v>
      </c>
      <c r="P70">
        <v>5</v>
      </c>
    </row>
    <row r="71" spans="1:25">
      <c r="A71" t="s">
        <v>1348</v>
      </c>
      <c r="D71" t="s">
        <v>655</v>
      </c>
      <c r="G71" s="549" t="s">
        <v>1349</v>
      </c>
      <c r="I71" s="558">
        <v>5</v>
      </c>
      <c r="M71">
        <v>6</v>
      </c>
      <c r="P71">
        <v>6</v>
      </c>
    </row>
    <row r="72" spans="1:25">
      <c r="A72" t="s">
        <v>25</v>
      </c>
      <c r="D72" t="s">
        <v>1350</v>
      </c>
      <c r="G72" t="s">
        <v>1351</v>
      </c>
      <c r="I72" s="558">
        <v>6</v>
      </c>
      <c r="M72">
        <v>7</v>
      </c>
      <c r="P72">
        <v>7</v>
      </c>
    </row>
    <row r="73" spans="1:25">
      <c r="D73" t="s">
        <v>635</v>
      </c>
      <c r="G73" s="549" t="s">
        <v>1352</v>
      </c>
      <c r="I73" s="558">
        <v>7</v>
      </c>
      <c r="M73">
        <v>8</v>
      </c>
      <c r="P73">
        <v>8</v>
      </c>
    </row>
    <row r="74" spans="1:25">
      <c r="D74" t="s">
        <v>824</v>
      </c>
      <c r="G74" s="549" t="s">
        <v>1353</v>
      </c>
      <c r="I74" s="558">
        <v>8</v>
      </c>
      <c r="M74">
        <v>9</v>
      </c>
      <c r="P74">
        <v>9</v>
      </c>
    </row>
    <row r="75" spans="1:25">
      <c r="D75" t="s">
        <v>1354</v>
      </c>
      <c r="G75" s="549" t="s">
        <v>1355</v>
      </c>
      <c r="I75" s="558">
        <v>9</v>
      </c>
      <c r="M75">
        <v>10</v>
      </c>
      <c r="P75">
        <v>10</v>
      </c>
    </row>
    <row r="76" spans="1:25">
      <c r="D76" t="s">
        <v>26</v>
      </c>
      <c r="G76" s="549" t="s">
        <v>1356</v>
      </c>
      <c r="I76" s="558">
        <v>10</v>
      </c>
      <c r="M76">
        <v>11</v>
      </c>
    </row>
    <row r="77" spans="1:25">
      <c r="D77" t="s">
        <v>1357</v>
      </c>
      <c r="G77" s="549" t="s">
        <v>1358</v>
      </c>
      <c r="I77" s="558">
        <v>11</v>
      </c>
      <c r="M77">
        <v>12</v>
      </c>
    </row>
    <row r="78" spans="1:25">
      <c r="D78" t="s">
        <v>657</v>
      </c>
      <c r="G78" t="s">
        <v>1359</v>
      </c>
      <c r="I78" s="558">
        <v>12</v>
      </c>
      <c r="M78">
        <v>13</v>
      </c>
    </row>
    <row r="79" spans="1:25">
      <c r="D79" t="s">
        <v>25</v>
      </c>
      <c r="G79" s="549" t="s">
        <v>1360</v>
      </c>
      <c r="I79" s="558">
        <v>13</v>
      </c>
    </row>
    <row r="80" spans="1:25">
      <c r="D80" t="s">
        <v>1348</v>
      </c>
      <c r="G80" s="549" t="s">
        <v>1361</v>
      </c>
      <c r="I80" s="558">
        <v>14</v>
      </c>
    </row>
    <row r="81" spans="1:16">
      <c r="G81" s="549" t="s">
        <v>1362</v>
      </c>
      <c r="I81" s="558">
        <v>15</v>
      </c>
    </row>
    <row r="82" spans="1:16">
      <c r="G82" s="549" t="s">
        <v>1363</v>
      </c>
      <c r="P82" s="547" t="s">
        <v>1364</v>
      </c>
    </row>
    <row r="83" spans="1:16">
      <c r="G83" s="549" t="s">
        <v>1365</v>
      </c>
      <c r="P83" t="s">
        <v>682</v>
      </c>
    </row>
    <row r="84" spans="1:16">
      <c r="G84" s="549" t="s">
        <v>1366</v>
      </c>
      <c r="P84" t="s">
        <v>1367</v>
      </c>
    </row>
    <row r="85" spans="1:16">
      <c r="A85" s="547" t="s">
        <v>1368</v>
      </c>
      <c r="G85" s="549" t="s">
        <v>1369</v>
      </c>
      <c r="P85" t="s">
        <v>678</v>
      </c>
    </row>
    <row r="86" spans="1:16">
      <c r="A86" s="559" t="s">
        <v>1370</v>
      </c>
      <c r="G86" t="s">
        <v>1371</v>
      </c>
      <c r="P86" t="s">
        <v>1372</v>
      </c>
    </row>
    <row r="87" spans="1:16">
      <c r="A87" s="559" t="s">
        <v>1373</v>
      </c>
      <c r="G87" s="549" t="s">
        <v>1374</v>
      </c>
    </row>
    <row r="88" spans="1:16">
      <c r="A88" s="559" t="s">
        <v>1375</v>
      </c>
      <c r="G88" s="549" t="s">
        <v>1376</v>
      </c>
    </row>
    <row r="89" spans="1:16">
      <c r="A89" s="559" t="s">
        <v>1377</v>
      </c>
    </row>
    <row r="90" spans="1:16">
      <c r="A90" s="559" t="s">
        <v>1378</v>
      </c>
    </row>
    <row r="91" spans="1:16">
      <c r="A91" s="559" t="s">
        <v>1379</v>
      </c>
    </row>
    <row r="92" spans="1:16">
      <c r="A92" s="559" t="s">
        <v>1380</v>
      </c>
    </row>
    <row r="93" spans="1:16">
      <c r="A93" s="559" t="s">
        <v>1381</v>
      </c>
    </row>
    <row r="94" spans="1:16">
      <c r="A94" s="559" t="s">
        <v>1382</v>
      </c>
    </row>
    <row r="95" spans="1:16">
      <c r="A95" s="559" t="s">
        <v>1383</v>
      </c>
    </row>
    <row r="96" spans="1:16">
      <c r="A96" s="559" t="s">
        <v>1384</v>
      </c>
    </row>
    <row r="97" spans="1:1">
      <c r="A97" s="559" t="s">
        <v>208</v>
      </c>
    </row>
    <row r="98" spans="1:1">
      <c r="A98" s="559" t="s">
        <v>997</v>
      </c>
    </row>
    <row r="99" spans="1:1">
      <c r="A99" s="559" t="s">
        <v>1385</v>
      </c>
    </row>
    <row r="100" spans="1:1">
      <c r="A100" s="559" t="s">
        <v>1386</v>
      </c>
    </row>
    <row r="101" spans="1:1">
      <c r="A101" s="559" t="s">
        <v>1387</v>
      </c>
    </row>
    <row r="102" spans="1:1">
      <c r="A102" s="559" t="s">
        <v>1388</v>
      </c>
    </row>
    <row r="103" spans="1:1">
      <c r="A103" s="559" t="s">
        <v>1389</v>
      </c>
    </row>
    <row r="104" spans="1:1">
      <c r="A104" s="559" t="s">
        <v>1390</v>
      </c>
    </row>
    <row r="105" spans="1:1">
      <c r="A105" s="1094" t="s">
        <v>1391</v>
      </c>
    </row>
    <row r="106" spans="1:1">
      <c r="A106" s="1094" t="s">
        <v>1392</v>
      </c>
    </row>
    <row r="107" spans="1:1">
      <c r="A107" s="559" t="s">
        <v>1393</v>
      </c>
    </row>
    <row r="108" spans="1:1">
      <c r="A108" s="559" t="s">
        <v>1394</v>
      </c>
    </row>
    <row r="109" spans="1:1">
      <c r="A109" s="559" t="s">
        <v>1395</v>
      </c>
    </row>
    <row r="110" spans="1:1">
      <c r="A110" s="1094" t="s">
        <v>1396</v>
      </c>
    </row>
    <row r="111" spans="1:1">
      <c r="A111" s="559" t="s">
        <v>1397</v>
      </c>
    </row>
    <row r="112" spans="1:1">
      <c r="A112" s="559" t="s">
        <v>1398</v>
      </c>
    </row>
    <row r="113" spans="1:1">
      <c r="A113" s="559" t="s">
        <v>1399</v>
      </c>
    </row>
    <row r="114" spans="1:1">
      <c r="A114" s="559" t="s">
        <v>1400</v>
      </c>
    </row>
    <row r="115" spans="1:1">
      <c r="A115" s="559" t="s">
        <v>1401</v>
      </c>
    </row>
    <row r="116" spans="1:1">
      <c r="A116" s="559" t="s">
        <v>1402</v>
      </c>
    </row>
    <row r="117" spans="1:1">
      <c r="A117" s="559" t="s">
        <v>1403</v>
      </c>
    </row>
    <row r="118" spans="1:1">
      <c r="A118" s="559" t="s">
        <v>1404</v>
      </c>
    </row>
    <row r="119" spans="1:1">
      <c r="A119" s="559" t="s">
        <v>1405</v>
      </c>
    </row>
    <row r="120" spans="1:1">
      <c r="A120" s="559" t="s">
        <v>1406</v>
      </c>
    </row>
    <row r="121" spans="1:1">
      <c r="A121" s="559" t="s">
        <v>1407</v>
      </c>
    </row>
    <row r="122" spans="1:1">
      <c r="A122" s="559" t="s">
        <v>1408</v>
      </c>
    </row>
    <row r="123" spans="1:1">
      <c r="A123" s="559" t="s">
        <v>1409</v>
      </c>
    </row>
    <row r="124" spans="1:1">
      <c r="A124" s="559" t="s">
        <v>1410</v>
      </c>
    </row>
    <row r="125" spans="1:1">
      <c r="A125" s="559" t="s">
        <v>1411</v>
      </c>
    </row>
    <row r="126" spans="1:1">
      <c r="A126" s="559" t="s">
        <v>1412</v>
      </c>
    </row>
    <row r="127" spans="1:1">
      <c r="A127" s="559" t="s">
        <v>1413</v>
      </c>
    </row>
    <row r="128" spans="1:1">
      <c r="A128" s="559" t="s">
        <v>1414</v>
      </c>
    </row>
    <row r="129" spans="1:1">
      <c r="A129" s="559" t="s">
        <v>1415</v>
      </c>
    </row>
    <row r="130" spans="1:1">
      <c r="A130" s="559" t="s">
        <v>1416</v>
      </c>
    </row>
    <row r="131" spans="1:1">
      <c r="A131" s="559" t="s">
        <v>1417</v>
      </c>
    </row>
    <row r="132" spans="1:1">
      <c r="A132" s="559" t="s">
        <v>1418</v>
      </c>
    </row>
    <row r="133" spans="1:1">
      <c r="A133" s="1094" t="s">
        <v>1419</v>
      </c>
    </row>
    <row r="134" spans="1:1">
      <c r="A134" s="559" t="s">
        <v>1420</v>
      </c>
    </row>
    <row r="135" spans="1:1">
      <c r="A135" s="559" t="s">
        <v>1421</v>
      </c>
    </row>
    <row r="136" spans="1:1">
      <c r="A136" s="559" t="s">
        <v>1422</v>
      </c>
    </row>
    <row r="137" spans="1:1">
      <c r="A137" s="559" t="s">
        <v>1423</v>
      </c>
    </row>
    <row r="138" spans="1:1">
      <c r="A138" s="559" t="s">
        <v>1424</v>
      </c>
    </row>
    <row r="139" spans="1:1">
      <c r="A139" s="559" t="s">
        <v>1425</v>
      </c>
    </row>
    <row r="140" spans="1:1">
      <c r="A140" s="559" t="s">
        <v>1426</v>
      </c>
    </row>
    <row r="141" spans="1:1">
      <c r="A141" s="559" t="s">
        <v>1427</v>
      </c>
    </row>
    <row r="142" spans="1:1">
      <c r="A142" s="559" t="s">
        <v>1428</v>
      </c>
    </row>
    <row r="143" spans="1:1">
      <c r="A143" s="547"/>
    </row>
  </sheetData>
  <sheetProtection password="E266" sheet="1" objects="1" scenarios="1"/>
  <mergeCells count="1">
    <mergeCell ref="A1:A3"/>
  </mergeCells>
  <phoneticPr fontId="53" type="noConversion"/>
  <hyperlinks>
    <hyperlink ref="E61" r:id="rId1" display="http://egov.cityofchicago.org/city/webportal/portalContentItemAction.do?BV_SessionID=@@@@1188661879.1059329543@@@@&amp;BV_EngineID=cccdadciligiglmcefecelldffhdffn.0&amp;contentOID=536882919&amp;contenTypeName=COC_EDITORIAL&amp;topChannelName=Government&amp;blockName=Promo+Item&amp;channelId=-536879035&amp;programId=536879154" xr:uid="{00000000-0004-0000-1000-000000000000}"/>
    <hyperlink ref="E60" r:id="rId2" display="http://egov.cityofchicago.org/city/webportal/portalContentItemAction.do?BV_SessionID=@@@@1188661879.1059329543@@@@&amp;BV_EngineID=cccdadciligiglmcefecelldffhdffn.0&amp;contentOID=536882918&amp;contenTypeName=COC_EDITORIAL&amp;topChannelName=Government&amp;blockName=Promo+Item&amp;channelId=-536879035&amp;programId=536879154" xr:uid="{00000000-0004-0000-1000-000001000000}"/>
    <hyperlink ref="E59" r:id="rId3" display="http://egov.cityofchicago.org/city/webportal/portalContentItemAction.do?BV_SessionID=@@@@1188661879.1059329543@@@@&amp;BV_EngineID=cccdadciligiglmcefecelldffhdffn.0&amp;contentOID=536882917&amp;contenTypeName=COC_EDITORIAL&amp;topChannelName=Government&amp;blockName=Promo+Item&amp;channelId=-536879035&amp;programId=536879154" xr:uid="{00000000-0004-0000-1000-000002000000}"/>
    <hyperlink ref="E58" r:id="rId4" display="http://egov.cityofchicago.org/city/webportal/portalContentItemAction.do?BV_SessionID=@@@@1188661879.1059329543@@@@&amp;BV_EngineID=cccdadciligiglmcefecelldffhdffn.0&amp;contentOID=536882920&amp;contenTypeName=COC_EDITORIAL&amp;topChannelName=Government&amp;blockName=Promo+Item&amp;channelId=-536879035&amp;programId=536879154" xr:uid="{00000000-0004-0000-1000-000003000000}"/>
    <hyperlink ref="E57" r:id="rId5" display="http://egov.cityofchicago.org/city/webportal/portalContentItemAction.do?BV_SessionID=@@@@1188661879.1059329543@@@@&amp;BV_EngineID=cccdadciligiglmcefecelldffhdffn.0&amp;contentOID=11019&amp;contenTypeName=COC_EDITORIAL&amp;topChannelName=Government&amp;blockName=Promo+Item&amp;channelId=-536879035&amp;programId=536879154" xr:uid="{00000000-0004-0000-1000-000004000000}"/>
    <hyperlink ref="E56" r:id="rId6" display="http://egov.cityofchicago.org/city/webportal/portalContentItemAction.do?BV_SessionID=@@@@1188661879.1059329543@@@@&amp;BV_EngineID=cccdadciligiglmcefecelldffhdffn.0&amp;contentOID=11018&amp;contenTypeName=COC_EDITORIAL&amp;topChannelName=Government&amp;blockName=Promo+Item&amp;channelId=-536879035&amp;programId=536879154" xr:uid="{00000000-0004-0000-1000-000005000000}"/>
    <hyperlink ref="E55" r:id="rId7" display="http://egov.cityofchicago.org/city/webportal/portalContentItemAction.do?BV_SessionID=@@@@1188661879.1059329543@@@@&amp;BV_EngineID=cccdadciligiglmcefecelldffhdffn.0&amp;contentOID=9487&amp;contenTypeName=COC_EDITORIAL&amp;topChannelName=Government&amp;blockName=Promo+Item&amp;channelId=-536879035&amp;programId=536879154" xr:uid="{00000000-0004-0000-1000-000006000000}"/>
    <hyperlink ref="E54" r:id="rId8" display="http://egov.cityofchicago.org/city/webportal/portalContentItemAction.do?BV_SessionID=@@@@1188661879.1059329543@@@@&amp;BV_EngineID=cccdadciligiglmcefecelldffhdffn.0&amp;contentOID=9486&amp;contenTypeName=COC_EDITORIAL&amp;topChannelName=Government&amp;blockName=Promo+Item&amp;channelId=-536879035&amp;programId=536879154" xr:uid="{00000000-0004-0000-1000-000007000000}"/>
    <hyperlink ref="E53" r:id="rId9" display="http://egov.cityofchicago.org/city/webportal/portalContentItemAction.do?BV_SessionID=@@@@1188661879.1059329543@@@@&amp;BV_EngineID=cccdadciligiglmcefecelldffhdffn.0&amp;contentOID=9485&amp;contenTypeName=COC_EDITORIAL&amp;topChannelName=Government&amp;blockName=Promo+Item&amp;channelId=-536879035&amp;programId=536879154" xr:uid="{00000000-0004-0000-1000-000008000000}"/>
    <hyperlink ref="E52" r:id="rId10" display="http://egov.cityofchicago.org/city/webportal/portalContentItemAction.do?BV_SessionID=@@@@1188661879.1059329543@@@@&amp;BV_EngineID=cccdadciligiglmcefecelldffhdffn.0&amp;contentOID=9484&amp;contenTypeName=COC_EDITORIAL&amp;topChannelName=Government&amp;blockName=Promo+Item&amp;channelId=-536879035&amp;programId=536879154" xr:uid="{00000000-0004-0000-1000-000009000000}"/>
    <hyperlink ref="E51" r:id="rId11" display="http://egov.cityofchicago.org/city/webportal/portalContentItemAction.do?BV_SessionID=@@@@1188661879.1059329543@@@@&amp;BV_EngineID=cccdadciligiglmcefecelldffhdffn.0&amp;contentOID=9483&amp;contenTypeName=COC_EDITORIAL&amp;topChannelName=Government&amp;blockName=Promo+Item&amp;channelId=-536879035&amp;programId=536879154" xr:uid="{00000000-0004-0000-1000-00000A000000}"/>
    <hyperlink ref="E50" r:id="rId12" display="http://egov.cityofchicago.org/city/webportal/portalEntityHomeAction.do?BV_SessionID=@@@@1188661879.1059329543@@@@&amp;BV_EngineID=cccdadciligiglmcefecelldffhdffn.0&amp;entityName=Ward39&amp;entityNameEnumValue=84" xr:uid="{00000000-0004-0000-1000-00000B000000}"/>
    <hyperlink ref="E49" r:id="rId13" display="http://egov.cityofchicago.org/city/webportal/portalContentItemAction.do?BV_SessionID=@@@@1188661879.1059329543@@@@&amp;BV_EngineID=cccdadciligiglmcefecelldffhdffn.0&amp;contentOID=9480&amp;contenTypeName=COC_EDITORIAL&amp;topChannelName=Government&amp;blockName=Promo+Item&amp;channelId=-536879035&amp;programId=536879154" xr:uid="{00000000-0004-0000-1000-00000C000000}"/>
    <hyperlink ref="E48" r:id="rId14" display="http://egov.cityofchicago.org/city/webportal/portalContentItemAction.do?BV_SessionID=@@@@1188661879.1059329543@@@@&amp;BV_EngineID=cccdadciligiglmcefecelldffhdffn.0&amp;contentOID=9479&amp;contenTypeName=COC_EDITORIAL&amp;topChannelName=Government&amp;blockName=Promo+Item&amp;channelId=-536879035&amp;programId=536879154" xr:uid="{00000000-0004-0000-1000-00000D000000}"/>
    <hyperlink ref="E47" r:id="rId15" display="http://egov.cityofchicago.org/city/webportal/portalContentItemAction.do?BV_SessionID=@@@@1188661879.1059329543@@@@&amp;BV_EngineID=cccdadciligiglmcefecelldffhdffn.0&amp;contentOID=9478&amp;contenTypeName=COC_EDITORIAL&amp;topChannelName=Government&amp;blockName=Promo+Item&amp;channelId=-536879035&amp;programId=536879154" xr:uid="{00000000-0004-0000-1000-00000E000000}"/>
    <hyperlink ref="E46" r:id="rId16" display="http://egov.cityofchicago.org/city/webportal/portalContentItemAction.do?BV_SessionID=@@@@1188661879.1059329543@@@@&amp;BV_EngineID=cccdadciligiglmcefecelldffhdffn.0&amp;contentOID=9477&amp;contenTypeName=COC_EDITORIAL&amp;topChannelName=Government&amp;blockName=Promo+Item&amp;channelId=-536879035&amp;programId=536879154" xr:uid="{00000000-0004-0000-1000-00000F000000}"/>
    <hyperlink ref="E45" r:id="rId17" display="http://egov.cityofchicago.org/city/webportal/portalContentItemAction.do?BV_SessionID=@@@@1188661879.1059329543@@@@&amp;BV_EngineID=cccdadciligiglmcefecelldffhdffn.0&amp;contentOID=9476&amp;contenTypeName=COC_EDITORIAL&amp;topChannelName=Government&amp;blockName=Promo+Item&amp;channelId=-536879035&amp;programId=536879154" xr:uid="{00000000-0004-0000-1000-000010000000}"/>
    <hyperlink ref="E44" r:id="rId18" display="http://egov.cityofchicago.org/city/webportal/portalContentItemAction.do?BV_SessionID=@@@@1188661879.1059329543@@@@&amp;BV_EngineID=cccdadciligiglmcefecelldffhdffn.0&amp;contentOID=9475&amp;contenTypeName=COC_EDITORIAL&amp;topChannelName=Government&amp;blockName=Promo+Item&amp;channelId=-536879035&amp;programId=536879154" xr:uid="{00000000-0004-0000-1000-000011000000}"/>
    <hyperlink ref="E43" r:id="rId19" display="http://egov.cityofchicago.org/city/webportal/portalContentItemAction.do?BV_SessionID=@@@@1188661879.1059329543@@@@&amp;BV_EngineID=cccdadciligiglmcefecelldffhdffn.0&amp;contentOID=9474&amp;contenTypeName=COC_EDITORIAL&amp;topChannelName=Government&amp;blockName=Promo+Item&amp;channelId=-536879035&amp;programId=536879154" xr:uid="{00000000-0004-0000-1000-000012000000}"/>
    <hyperlink ref="E42" r:id="rId20" display="http://egov.cityofchicago.org/city/webportal/portalContentItemAction.do?BV_SessionID=@@@@1188661879.1059329543@@@@&amp;BV_EngineID=cccdadciligiglmcefecelldffhdffn.0&amp;contentOID=9473&amp;contenTypeName=COC_EDITORIAL&amp;topChannelName=Government&amp;blockName=Promo+Item&amp;channelId=-536879035&amp;programId=536879154" xr:uid="{00000000-0004-0000-1000-000013000000}"/>
    <hyperlink ref="E41" r:id="rId21" display="http://egov.cityofchicago.org/city/webportal/portalContentItemAction.do?BV_SessionID=@@@@1188661879.1059329543@@@@&amp;BV_EngineID=cccdadciligiglmcefecelldffhdffn.0&amp;contentOID=9472&amp;contenTypeName=COC_EDITORIAL&amp;topChannelName=Government&amp;blockName=Promo+Item&amp;channelId=-536879035&amp;programId=536879154" xr:uid="{00000000-0004-0000-1000-000014000000}"/>
    <hyperlink ref="E40" r:id="rId22" display="http://egov.cityofchicago.org/city/webportal/portalContentItemAction.do?BV_SessionID=@@@@1188661879.1059329543@@@@&amp;BV_EngineID=cccdadciligiglmcefecelldffhdffn.0&amp;contentOID=9470&amp;contenTypeName=COC_EDITORIAL&amp;topChannelName=Government&amp;blockName=Promo+Item&amp;channelId=-536879035&amp;programId=536879154" xr:uid="{00000000-0004-0000-1000-000015000000}"/>
    <hyperlink ref="E39" r:id="rId23" display="http://egov.cityofchicago.org/city/webportal/portalContentItemAction.do?BV_SessionID=@@@@1188661879.1059329543@@@@&amp;BV_EngineID=cccdadciligiglmcefecelldffhdffn.0&amp;contentOID=9469&amp;contenTypeName=COC_EDITORIAL&amp;topChannelName=Government&amp;blockName=Promo+Item&amp;channelId=-536879035&amp;programId=536879154" xr:uid="{00000000-0004-0000-1000-000016000000}"/>
    <hyperlink ref="E38" r:id="rId24" display="http://egov.cityofchicago.org/city/webportal/portalContentItemAction.do?BV_SessionID=@@@@1188661879.1059329543@@@@&amp;BV_EngineID=cccdadciligiglmcefecelldffhdffn.0&amp;contentOID=9468&amp;contenTypeName=COC_EDITORIAL&amp;topChannelName=Government&amp;blockName=Promo+Item&amp;channelId=-536879035&amp;programId=536879154" xr:uid="{00000000-0004-0000-1000-000017000000}"/>
    <hyperlink ref="E37" r:id="rId25" display="http://egov.cityofchicago.org/city/webportal/portalContentItemAction.do?BV_SessionID=@@@@1188661879.1059329543@@@@&amp;BV_EngineID=cccdadciligiglmcefecelldffhdffn.0&amp;contentOID=9467&amp;contenTypeName=COC_EDITORIAL&amp;topChannelName=Government&amp;blockName=Promo+Item&amp;channelId=-536879035&amp;programId=536879154" xr:uid="{00000000-0004-0000-1000-000018000000}"/>
    <hyperlink ref="E36" r:id="rId26" display="http://egov.cityofchicago.org/city/webportal/portalContentItemAction.do?BV_SessionID=@@@@1188661879.1059329543@@@@&amp;BV_EngineID=cccdadciligiglmcefecelldffhdffn.0&amp;contentOID=9466&amp;contenTypeName=COC_EDITORIAL&amp;topChannelName=Government&amp;blockName=Promo+Item&amp;channelId=-536879035&amp;programId=536879154" xr:uid="{00000000-0004-0000-1000-000019000000}"/>
    <hyperlink ref="E35" r:id="rId27" display="http://egov.cityofchicago.org/city/webportal/portalContentItemAction.do?BV_SessionID=@@@@1188661879.1059329543@@@@&amp;BV_EngineID=cccdadciligiglmcefecelldffhdffn.0&amp;contentOID=9465&amp;contenTypeName=COC_EDITORIAL&amp;topChannelName=Government&amp;blockName=Promo+Item&amp;channelId=-536879035&amp;programId=536879154" xr:uid="{00000000-0004-0000-1000-00001A000000}"/>
    <hyperlink ref="E34" r:id="rId28" display="http://egov.cityofchicago.org/city/webportal/portalContentItemAction.do?BV_SessionID=@@@@1188661879.1059329543@@@@&amp;BV_EngineID=cccdadciligiglmcefecelldffhdffn.0&amp;contentOID=9464&amp;contenTypeName=COC_EDITORIAL&amp;topChannelName=Government&amp;blockName=Promo+Item&amp;channelId=-536879035&amp;programId=536879154" xr:uid="{00000000-0004-0000-1000-00001B000000}"/>
    <hyperlink ref="E33" r:id="rId29" display="http://egov.cityofchicago.org/city/webportal/portalContentItemAction.do?BV_SessionID=@@@@1188661879.1059329543@@@@&amp;BV_EngineID=cccdadciligiglmcefecelldffhdffn.0&amp;contentOID=9463&amp;contenTypeName=COC_EDITORIAL&amp;topChannelName=Government&amp;blockName=Promo+Item&amp;channelId=-536879035&amp;programId=536879154" xr:uid="{00000000-0004-0000-1000-00001C000000}"/>
    <hyperlink ref="E32" r:id="rId30" display="http://egov.cityofchicago.org/city/webportal/portalContentItemAction.do?BV_SessionID=@@@@1188661879.1059329543@@@@&amp;BV_EngineID=cccdadciligiglmcefecelldffhdffn.0&amp;contentOID=9462&amp;contenTypeName=COC_EDITORIAL&amp;topChannelName=Government&amp;blockName=Promo+Item&amp;channelId=-536879035&amp;programId=536879154" xr:uid="{00000000-0004-0000-1000-00001D000000}"/>
    <hyperlink ref="E31" r:id="rId31" display="http://egov.cityofchicago.org/city/webportal/portalContentItemAction.do?BV_SessionID=@@@@1188661879.1059329543@@@@&amp;BV_EngineID=cccdadciligiglmcefecelldffhdffn.0&amp;contentOID=9461&amp;contenTypeName=COC_EDITORIAL&amp;topChannelName=Government&amp;blockName=Promo+Item&amp;channelId=-536879035&amp;programId=536879154" xr:uid="{00000000-0004-0000-1000-00001E000000}"/>
    <hyperlink ref="E30" r:id="rId32" display="http://egov.cityofchicago.org/city/webportal/portalEntityHomeAction.do?BV_SessionID=@@@@1188661879.1059329543@@@@&amp;BV_EngineID=cccdadciligiglmcefecelldffhdffn.0&amp;entityName=Ward19&amp;entityNameEnumValue=64" xr:uid="{00000000-0004-0000-1000-00001F000000}"/>
    <hyperlink ref="E29" r:id="rId33" display="http://egov.cityofchicago.org/city/webportal/portalEntityHomeAction.do?BV_SessionID=@@@@1188661879.1059329543@@@@&amp;BV_EngineID=cccdadciligiglmcefecelldffhdffn.0&amp;entityName=Ward18&amp;entityNameEnumValue=63" xr:uid="{00000000-0004-0000-1000-000020000000}"/>
    <hyperlink ref="E28" r:id="rId34" display="http://egov.cityofchicago.org/city/webportal/portalContentItemAction.do?BV_SessionID=@@@@1188661879.1059329543@@@@&amp;BV_EngineID=cccdadciligiglmcefecelldffhdffn.0&amp;contentOID=9457&amp;contenTypeName=COC_EDITORIAL&amp;topChannelName=Government&amp;blockName=Promo+Item&amp;channelId=-536879035&amp;programId=536879154" xr:uid="{00000000-0004-0000-1000-000021000000}"/>
    <hyperlink ref="E27" r:id="rId35" display="http://egov.cityofchicago.org/city/webportal/portalContentItemAction.do?BV_SessionID=@@@@1188661879.1059329543@@@@&amp;BV_EngineID=cccdadciligiglmcefecelldffhdffn.0&amp;contentOID=9456&amp;contenTypeName=COC_EDITORIAL&amp;topChannelName=Government&amp;blockName=Promo+Item&amp;channelId=-536879035&amp;programId=536879154" xr:uid="{00000000-0004-0000-1000-000022000000}"/>
    <hyperlink ref="E26" r:id="rId36" display="http://egov.cityofchicago.org/city/webportal/portalContentItemAction.do?BV_SessionID=@@@@1188661879.1059329543@@@@&amp;BV_EngineID=cccdadciligiglmcefecelldffhdffn.0&amp;contentOID=9455&amp;contenTypeName=COC_EDITORIAL&amp;topChannelName=Government&amp;blockName=Promo+Item&amp;channelId=-536879035&amp;programId=536879154" xr:uid="{00000000-0004-0000-1000-000023000000}"/>
    <hyperlink ref="E25" r:id="rId37" display="http://egov.cityofchicago.org/city/webportal/portalContentItemAction.do?BV_SessionID=@@@@1188661879.1059329543@@@@&amp;BV_EngineID=cccdadciligiglmcefecelldffhdffn.0&amp;contentOID=9454&amp;contenTypeName=COC_EDITORIAL&amp;topChannelName=Government&amp;blockName=Promo+Item&amp;channelId=-536879035&amp;programId=536879154" xr:uid="{00000000-0004-0000-1000-000024000000}"/>
    <hyperlink ref="E24" r:id="rId38" display="http://egov.cityofchicago.org/city/webportal/portalContentItemAction.do?BV_SessionID=@@@@1188661879.1059329543@@@@&amp;BV_EngineID=cccdadciligiglmcefecelldffhdffn.0&amp;contentOID=9453&amp;contenTypeName=COC_EDITORIAL&amp;topChannelName=Government&amp;blockName=Promo+Item&amp;channelId=-536879035&amp;programId=536879154" xr:uid="{00000000-0004-0000-1000-000025000000}"/>
    <hyperlink ref="E23" r:id="rId39" display="http://egov.cityofchicago.org/city/webportal/portalContentItemAction.do?BV_SessionID=@@@@1188661879.1059329543@@@@&amp;BV_EngineID=cccdadciligiglmcefecelldffhdffn.0&amp;contentOID=9452&amp;contenTypeName=COC_EDITORIAL&amp;topChannelName=Government&amp;blockName=Promo+Item&amp;channelId=-536879035&amp;programId=536879154" xr:uid="{00000000-0004-0000-1000-000026000000}"/>
    <hyperlink ref="E22" r:id="rId40" display="http://egov.cityofchicago.org/city/webportal/portalContentItemAction.do?BV_SessionID=@@@@1188661879.1059329543@@@@&amp;BV_EngineID=cccdadciligiglmcefecelldffhdffn.0&amp;contentOID=9451&amp;contenTypeName=COC_EDITORIAL&amp;topChannelName=Government&amp;blockName=Promo+Item&amp;channelId=-536879035&amp;programId=536879154" xr:uid="{00000000-0004-0000-1000-000027000000}"/>
    <hyperlink ref="E21" r:id="rId41" display="http://egov.cityofchicago.org/city/webportal/portalContentItemAction.do?BV_SessionID=@@@@1188661879.1059329543@@@@&amp;BV_EngineID=cccdadciligiglmcefecelldffhdffn.0&amp;contentOID=9450&amp;contenTypeName=COC_EDITORIAL&amp;topChannelName=Government&amp;blockName=Promo+Item&amp;channelId=-536879035&amp;programId=536879154" xr:uid="{00000000-0004-0000-1000-000028000000}"/>
    <hyperlink ref="E20" r:id="rId42" display="http://egov.cityofchicago.org/city/webportal/portalContentItemAction.do?BV_SessionID=@@@@1188661879.1059329543@@@@&amp;BV_EngineID=cccdadciligiglmcefecelldffhdffn.0&amp;contentOID=9492&amp;contenTypeName=COC_EDITORIAL&amp;topChannelName=Government&amp;blockName=Promo+Item&amp;channelId=-536879035&amp;programId=536879154" xr:uid="{00000000-0004-0000-1000-000029000000}"/>
    <hyperlink ref="E19" r:id="rId43" display="http://egov.cityofchicago.org/city/webportal/portalContentItemAction.do?BV_SessionID=@@@@1188661879.1059329543@@@@&amp;BV_EngineID=cccdadciligiglmcefecelldffhdffn.0&amp;contentOID=9491&amp;contenTypeName=COC_EDITORIAL&amp;topChannelName=Government&amp;blockName=Promo+Item&amp;channelId=-536879035&amp;programId=536879154" xr:uid="{00000000-0004-0000-1000-00002A000000}"/>
    <hyperlink ref="E18" r:id="rId44" display="http://egov.cityofchicago.org/city/webportal/portalContentItemAction.do?BV_SessionID=@@@@1188661879.1059329543@@@@&amp;BV_EngineID=cccdadciligiglmcefecelldffhdffn.0&amp;contentOID=9490&amp;contenTypeName=COC_EDITORIAL&amp;topChannelName=Government&amp;blockName=Promo+Item&amp;channelId=-536879035&amp;programId=536879154" xr:uid="{00000000-0004-0000-1000-00002B000000}"/>
    <hyperlink ref="E17" r:id="rId45" display="http://egov.cityofchicago.org/city/webportal/portalContentItemAction.do?BV_SessionID=@@@@1188661879.1059329543@@@@&amp;BV_EngineID=cccdadciligiglmcefecelldffhdffn.0&amp;contentOID=9489&amp;contenTypeName=COC_EDITORIAL&amp;topChannelName=Government&amp;blockName=Promo+Item&amp;channelId=-536879035&amp;programId=536879154" xr:uid="{00000000-0004-0000-1000-00002C000000}"/>
    <hyperlink ref="E16" r:id="rId46" display="http://egov.cityofchicago.org/city/webportal/portalContentItemAction.do?BV_SessionID=@@@@1188661879.1059329543@@@@&amp;BV_EngineID=cccdadciligiglmcefecelldffhdffn.0&amp;contentOID=9488&amp;contenTypeName=COC_EDITORIAL&amp;topChannelName=Government&amp;blockName=Promo+Item&amp;channelId=-536879035&amp;programId=536879154" xr:uid="{00000000-0004-0000-1000-00002D000000}"/>
  </hyperlinks>
  <pageMargins left="0.75" right="0.75" top="0.78" bottom="0.43" header="0.28999999999999998" footer="0.24"/>
  <pageSetup orientation="portrait" horizontalDpi="1200" verticalDpi="1200" r:id="rId47"/>
  <headerFooter alignWithMargins="0">
    <oddHeader>&amp;C&amp;"Arial,Bold"&amp;11City of Chicago Aldermen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8"/>
  <sheetViews>
    <sheetView view="pageBreakPreview" zoomScale="110" zoomScaleNormal="110" zoomScaleSheetLayoutView="110" workbookViewId="0"/>
  </sheetViews>
  <sheetFormatPr defaultColWidth="9.140625" defaultRowHeight="12.75"/>
  <cols>
    <col min="1" max="1" width="2.140625" style="1047" customWidth="1"/>
    <col min="2" max="2" width="4.42578125" style="1047" customWidth="1"/>
    <col min="3" max="3" width="10.28515625" style="1047" customWidth="1"/>
    <col min="4" max="4" width="14.42578125" style="1047" customWidth="1"/>
    <col min="5" max="5" width="19.85546875" style="1047" customWidth="1"/>
    <col min="6" max="8" width="5.140625" style="1047" customWidth="1"/>
    <col min="9" max="9" width="14.42578125" style="1047" customWidth="1"/>
    <col min="10" max="10" width="28.7109375" style="1047" customWidth="1"/>
    <col min="11" max="11" width="9.140625" style="1047"/>
    <col min="12" max="12" width="11.85546875" style="1047" customWidth="1"/>
    <col min="13" max="16384" width="9.140625" style="1047"/>
  </cols>
  <sheetData>
    <row r="1" spans="1:12" ht="14.25">
      <c r="A1" s="1046"/>
      <c r="B1" s="1046"/>
      <c r="C1" s="1046"/>
      <c r="D1" s="1046"/>
      <c r="H1" s="1048" t="s">
        <v>59</v>
      </c>
    </row>
    <row r="2" spans="1:12">
      <c r="A2" s="1046"/>
      <c r="B2" s="1046"/>
      <c r="C2" s="1046"/>
      <c r="D2" s="1046"/>
      <c r="E2" s="1046"/>
      <c r="F2" s="1046"/>
      <c r="G2" s="1046"/>
      <c r="H2" s="1046"/>
      <c r="I2" s="1049" t="s">
        <v>60</v>
      </c>
      <c r="J2" s="1050">
        <f ca="1">Setup!R26</f>
        <v>44629.414563425926</v>
      </c>
    </row>
    <row r="3" spans="1:12">
      <c r="A3" s="1051" t="s">
        <v>61</v>
      </c>
      <c r="B3" s="1046"/>
      <c r="C3" s="1046"/>
      <c r="D3" s="1046"/>
      <c r="E3" s="1046"/>
      <c r="F3" s="1046"/>
      <c r="G3" s="1046"/>
      <c r="H3" s="1046"/>
      <c r="L3" s="1052"/>
    </row>
    <row r="4" spans="1:12">
      <c r="A4" s="1046"/>
      <c r="B4" s="1046"/>
      <c r="C4" s="1046"/>
      <c r="D4" s="1046"/>
      <c r="E4" s="1096"/>
      <c r="F4" s="1096"/>
      <c r="G4" s="1096"/>
      <c r="H4" s="1096"/>
    </row>
    <row r="5" spans="1:12">
      <c r="A5" s="1053" t="s">
        <v>62</v>
      </c>
      <c r="E5" s="1058" t="str">
        <f>Setup!D7</f>
        <v>Enter Project Name Here</v>
      </c>
      <c r="F5" s="1058"/>
      <c r="G5" s="1058"/>
      <c r="H5" s="1058"/>
    </row>
    <row r="6" spans="1:12">
      <c r="A6" s="1053" t="s">
        <v>63</v>
      </c>
      <c r="B6" s="1054"/>
      <c r="C6" s="1054"/>
      <c r="D6" s="1054"/>
      <c r="E6" s="1097"/>
      <c r="F6" s="1097"/>
      <c r="G6" s="1097"/>
      <c r="H6" s="1058"/>
    </row>
    <row r="7" spans="1:12">
      <c r="A7" s="1053" t="s">
        <v>64</v>
      </c>
      <c r="B7" s="1054"/>
      <c r="C7" s="1054"/>
      <c r="D7" s="1054"/>
      <c r="E7" s="1098">
        <f>'Units&amp;Income'!AV98</f>
        <v>0</v>
      </c>
      <c r="F7" s="1098"/>
      <c r="G7" s="1098"/>
      <c r="H7" s="1058"/>
    </row>
    <row r="8" spans="1:12">
      <c r="A8" s="1052"/>
      <c r="E8" s="1058"/>
      <c r="F8" s="1058"/>
      <c r="G8" s="1058"/>
      <c r="H8" s="1058"/>
    </row>
    <row r="9" spans="1:12" ht="12.75" customHeight="1">
      <c r="E9" s="1058"/>
      <c r="F9" s="1890" t="s">
        <v>65</v>
      </c>
      <c r="G9" s="1890"/>
      <c r="H9" s="1890"/>
      <c r="I9" s="1892" t="s">
        <v>66</v>
      </c>
      <c r="J9" s="1893" t="s">
        <v>67</v>
      </c>
    </row>
    <row r="10" spans="1:12">
      <c r="A10" s="1055" t="s">
        <v>68</v>
      </c>
      <c r="E10" s="1058"/>
      <c r="F10" s="1891"/>
      <c r="G10" s="1891"/>
      <c r="H10" s="1891"/>
      <c r="I10" s="1892"/>
      <c r="J10" s="1893"/>
    </row>
    <row r="11" spans="1:12">
      <c r="B11" s="1056" t="s">
        <v>69</v>
      </c>
      <c r="E11" s="1058"/>
      <c r="F11" s="1099" t="str">
        <f>Setup!D45</f>
        <v/>
      </c>
      <c r="G11" s="1099" t="str">
        <f>Setup!D46</f>
        <v/>
      </c>
      <c r="H11" s="1099" t="str">
        <f>Setup!D47</f>
        <v/>
      </c>
      <c r="I11" s="1086" t="s">
        <v>70</v>
      </c>
      <c r="J11" s="1086" t="s">
        <v>71</v>
      </c>
    </row>
    <row r="12" spans="1:12">
      <c r="B12" s="1056" t="s">
        <v>72</v>
      </c>
      <c r="C12" s="1056"/>
      <c r="E12" s="1058"/>
      <c r="F12" s="1894" t="e">
        <f ca="1">DevCosts!D119/(DevCosts!D133-DevCosts!D119)</f>
        <v>#DIV/0!</v>
      </c>
      <c r="G12" s="1895"/>
      <c r="H12" s="1896"/>
      <c r="I12" s="1087">
        <v>0.12</v>
      </c>
      <c r="J12" s="1088" t="s">
        <v>73</v>
      </c>
    </row>
    <row r="13" spans="1:12">
      <c r="B13" s="1056" t="s">
        <v>74</v>
      </c>
      <c r="C13" s="1056"/>
      <c r="E13" s="1058"/>
      <c r="F13" s="1897" t="e">
        <f ca="1">+J37</f>
        <v>#DIV/0!</v>
      </c>
      <c r="G13" s="1898"/>
      <c r="H13" s="1899"/>
      <c r="I13" s="1089">
        <v>0.8</v>
      </c>
      <c r="J13" s="1086" t="s">
        <v>75</v>
      </c>
    </row>
    <row r="14" spans="1:12">
      <c r="B14" s="1056" t="s">
        <v>76</v>
      </c>
      <c r="C14" s="1056"/>
      <c r="F14" s="2" t="e">
        <f>+J46</f>
        <v>#DIV/0!</v>
      </c>
      <c r="G14" s="1888"/>
      <c r="H14" s="1889"/>
      <c r="I14" s="1090" t="s">
        <v>77</v>
      </c>
      <c r="J14" s="1091" t="s">
        <v>78</v>
      </c>
    </row>
    <row r="16" spans="1:12">
      <c r="B16" s="1057" t="s">
        <v>79</v>
      </c>
      <c r="C16" s="1056" t="s">
        <v>80</v>
      </c>
      <c r="J16" s="1058"/>
    </row>
    <row r="17" spans="3:12">
      <c r="C17" s="1056" t="s">
        <v>81</v>
      </c>
      <c r="J17" s="1059">
        <f>Setup!L17</f>
        <v>0</v>
      </c>
    </row>
    <row r="18" spans="3:12">
      <c r="J18" s="1060"/>
    </row>
    <row r="19" spans="3:12">
      <c r="C19" s="1056" t="s">
        <v>82</v>
      </c>
      <c r="J19" s="1060"/>
    </row>
    <row r="20" spans="3:12">
      <c r="C20" s="1061" t="s">
        <v>83</v>
      </c>
      <c r="J20" s="1060"/>
      <c r="L20" s="1062"/>
    </row>
    <row r="21" spans="3:12">
      <c r="C21" s="1061" t="s">
        <v>84</v>
      </c>
      <c r="J21" s="1059">
        <f ca="1">DevCosts!D95</f>
        <v>0</v>
      </c>
    </row>
    <row r="22" spans="3:12">
      <c r="C22" s="1061" t="s">
        <v>85</v>
      </c>
      <c r="J22" s="1063">
        <f>SUM(DevCosts!D83,DevCosts!D96,DevCosts!D85)</f>
        <v>0</v>
      </c>
    </row>
    <row r="23" spans="3:12">
      <c r="C23" s="1061" t="s">
        <v>86</v>
      </c>
      <c r="J23" s="1064"/>
    </row>
    <row r="24" spans="3:12">
      <c r="C24" s="1061" t="s">
        <v>87</v>
      </c>
      <c r="J24" s="1059">
        <f>DevCosts!D69</f>
        <v>0</v>
      </c>
    </row>
    <row r="25" spans="3:12">
      <c r="C25" s="1061" t="s">
        <v>88</v>
      </c>
      <c r="J25" s="1063">
        <f>DevCosts!D70</f>
        <v>0</v>
      </c>
    </row>
    <row r="26" spans="3:12">
      <c r="C26" s="1061" t="s">
        <v>89</v>
      </c>
      <c r="J26" s="1063">
        <f>DevCosts!D81</f>
        <v>0</v>
      </c>
    </row>
    <row r="27" spans="3:12">
      <c r="C27" s="1061" t="s">
        <v>90</v>
      </c>
      <c r="J27" s="1063">
        <f>SUM(DevCosts!D67,DevCosts!D82)</f>
        <v>0</v>
      </c>
    </row>
    <row r="28" spans="3:12">
      <c r="C28" s="1061" t="s">
        <v>91</v>
      </c>
      <c r="J28" s="1063">
        <f ca="1">SUM(J21:J27)</f>
        <v>0</v>
      </c>
    </row>
    <row r="29" spans="3:12">
      <c r="J29" s="1060"/>
    </row>
    <row r="30" spans="3:12">
      <c r="C30" s="1065" t="s">
        <v>92</v>
      </c>
      <c r="J30" s="1060"/>
    </row>
    <row r="31" spans="3:12">
      <c r="C31" s="1061" t="s">
        <v>93</v>
      </c>
      <c r="J31" s="1059">
        <f ca="1">+J17-J28</f>
        <v>0</v>
      </c>
    </row>
    <row r="32" spans="3:12">
      <c r="C32" s="1061" t="s">
        <v>94</v>
      </c>
      <c r="J32" s="1063">
        <f>Setup!K17</f>
        <v>0</v>
      </c>
    </row>
    <row r="33" spans="2:10">
      <c r="C33" s="1061" t="s">
        <v>95</v>
      </c>
      <c r="I33" s="1049" t="s">
        <v>96</v>
      </c>
      <c r="J33" s="1066">
        <v>10</v>
      </c>
    </row>
    <row r="34" spans="2:10">
      <c r="C34" s="1061" t="s">
        <v>97</v>
      </c>
      <c r="J34" s="1063">
        <f>J32*J33</f>
        <v>0</v>
      </c>
    </row>
    <row r="35" spans="2:10">
      <c r="C35" s="1061" t="s">
        <v>98</v>
      </c>
      <c r="I35" s="1049" t="s">
        <v>96</v>
      </c>
      <c r="J35" s="1067">
        <v>0.99990000000000001</v>
      </c>
    </row>
    <row r="36" spans="2:10">
      <c r="C36" s="1061" t="s">
        <v>99</v>
      </c>
      <c r="J36" s="1063">
        <f>+J35*J34</f>
        <v>0</v>
      </c>
    </row>
    <row r="37" spans="2:10">
      <c r="C37" s="1061" t="s">
        <v>100</v>
      </c>
      <c r="J37" s="1068" t="e">
        <f ca="1">+J31/J34</f>
        <v>#DIV/0!</v>
      </c>
    </row>
    <row r="38" spans="2:10">
      <c r="J38" s="1060"/>
    </row>
    <row r="39" spans="2:10">
      <c r="B39" s="1069" t="s">
        <v>101</v>
      </c>
      <c r="C39" s="1056" t="s">
        <v>102</v>
      </c>
      <c r="J39" s="1060"/>
    </row>
    <row r="40" spans="2:10">
      <c r="C40" s="1056" t="s">
        <v>103</v>
      </c>
      <c r="J40" s="1060"/>
    </row>
    <row r="41" spans="2:10">
      <c r="C41" s="1061" t="s">
        <v>104</v>
      </c>
      <c r="J41" s="1059">
        <f>SUM('Units&amp;Income'!AW98,'Units&amp;Income'!G113,'Units&amp;Income'!G128)</f>
        <v>0</v>
      </c>
    </row>
    <row r="42" spans="2:10">
      <c r="C42" s="1061" t="s">
        <v>105</v>
      </c>
      <c r="J42" s="1063">
        <f>OpProforma!G70</f>
        <v>0</v>
      </c>
    </row>
    <row r="43" spans="2:10">
      <c r="C43" s="1061" t="s">
        <v>106</v>
      </c>
      <c r="J43" s="1063">
        <f>+J41-J42</f>
        <v>0</v>
      </c>
    </row>
    <row r="44" spans="2:10">
      <c r="C44" s="1056" t="s">
        <v>107</v>
      </c>
      <c r="J44" s="1064"/>
    </row>
    <row r="45" spans="2:10">
      <c r="C45" s="1061" t="s">
        <v>108</v>
      </c>
      <c r="J45" s="1059">
        <f>Sources!J70</f>
        <v>0</v>
      </c>
    </row>
    <row r="46" spans="2:10">
      <c r="C46" s="1061" t="s">
        <v>109</v>
      </c>
      <c r="J46" s="1070" t="e">
        <f>J43/J45</f>
        <v>#DIV/0!</v>
      </c>
    </row>
    <row r="47" spans="2:10">
      <c r="C47" s="1056" t="s">
        <v>110</v>
      </c>
      <c r="J47" s="1064"/>
    </row>
    <row r="48" spans="2:10">
      <c r="C48" s="1061" t="s">
        <v>111</v>
      </c>
      <c r="J48" s="1059">
        <f>OpProforma!G66</f>
        <v>0</v>
      </c>
    </row>
    <row r="49" spans="1:16">
      <c r="C49" s="1061" t="s">
        <v>112</v>
      </c>
      <c r="J49" s="1059">
        <f>(J43-J45)</f>
        <v>0</v>
      </c>
    </row>
    <row r="50" spans="1:16">
      <c r="C50" s="1061" t="s">
        <v>113</v>
      </c>
      <c r="J50" s="1071" t="e">
        <f>(J49/J42)</f>
        <v>#DIV/0!</v>
      </c>
    </row>
    <row r="51" spans="1:16">
      <c r="J51" s="1072"/>
    </row>
    <row r="52" spans="1:16">
      <c r="C52" s="1055" t="s">
        <v>114</v>
      </c>
    </row>
    <row r="53" spans="1:16">
      <c r="B53" s="1073" t="s">
        <v>115</v>
      </c>
      <c r="C53" s="1061" t="s">
        <v>116</v>
      </c>
    </row>
    <row r="54" spans="1:16" s="1075" customFormat="1">
      <c r="A54" s="1074"/>
      <c r="C54" s="1076" t="s">
        <v>117</v>
      </c>
    </row>
    <row r="55" spans="1:16" s="1075" customFormat="1"/>
    <row r="56" spans="1:16">
      <c r="B56" s="1073" t="s">
        <v>118</v>
      </c>
      <c r="C56" s="1061" t="s">
        <v>119</v>
      </c>
      <c r="D56" s="1061"/>
      <c r="E56" s="1061"/>
      <c r="F56" s="1061"/>
      <c r="G56" s="1061"/>
      <c r="H56" s="1061"/>
      <c r="I56" s="1061"/>
      <c r="J56" s="1061"/>
      <c r="K56" s="1061"/>
      <c r="L56" s="1061"/>
      <c r="M56" s="1061"/>
      <c r="N56" s="1061"/>
      <c r="O56" s="1061"/>
      <c r="P56" s="1061"/>
    </row>
    <row r="57" spans="1:16">
      <c r="C57" s="1061" t="s">
        <v>120</v>
      </c>
      <c r="D57" s="1061"/>
      <c r="E57" s="1061"/>
      <c r="F57" s="1061"/>
      <c r="G57" s="1061"/>
      <c r="H57" s="1061"/>
      <c r="I57" s="1061"/>
      <c r="J57" s="1061"/>
      <c r="K57" s="1061"/>
      <c r="L57" s="1061"/>
      <c r="M57" s="1061"/>
      <c r="N57" s="1061"/>
      <c r="O57" s="1061"/>
      <c r="P57" s="1061"/>
    </row>
    <row r="58" spans="1:16">
      <c r="C58" s="1061" t="s">
        <v>121</v>
      </c>
      <c r="D58" s="1061"/>
      <c r="E58" s="1061"/>
      <c r="F58" s="1061"/>
      <c r="G58" s="1061"/>
      <c r="H58" s="1061"/>
      <c r="I58" s="1061"/>
      <c r="J58" s="1061"/>
      <c r="K58" s="1061"/>
      <c r="L58" s="1061"/>
      <c r="M58" s="1061"/>
      <c r="N58" s="1061"/>
      <c r="O58" s="1061"/>
      <c r="P58" s="1061"/>
    </row>
  </sheetData>
  <sheetProtection algorithmName="SHA-512" hashValue="KO9B1oZ1p4TAIiFzGPAMte59C/DBSM0DQeqx+OF43fO9Re6kpOgyreXAn6muDJzzK/C8T7Of0RAhoEu0Ff9I0w==" saltValue="3mcIQ1uXexkdMwtnM5yrFw==" spinCount="100000" sheet="1" objects="1" scenarios="1"/>
  <mergeCells count="6">
    <mergeCell ref="F14:H14"/>
    <mergeCell ref="F9:H10"/>
    <mergeCell ref="I9:I10"/>
    <mergeCell ref="J9:J10"/>
    <mergeCell ref="F12:H12"/>
    <mergeCell ref="F13:H13"/>
  </mergeCells>
  <pageMargins left="0.25" right="0.25" top="1" bottom="1" header="0.5" footer="0.5"/>
  <pageSetup scale="8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41"/>
  <sheetViews>
    <sheetView topLeftCell="A55" workbookViewId="0">
      <selection activeCell="D16" sqref="D16"/>
    </sheetView>
  </sheetViews>
  <sheetFormatPr defaultColWidth="8.85546875" defaultRowHeight="12.75"/>
  <cols>
    <col min="2" max="2" width="35" bestFit="1" customWidth="1"/>
  </cols>
  <sheetData>
    <row r="1" spans="1:2">
      <c r="A1" s="1094"/>
      <c r="B1" s="1095" t="s">
        <v>171</v>
      </c>
    </row>
    <row r="2" spans="1:2">
      <c r="B2" t="s">
        <v>1429</v>
      </c>
    </row>
    <row r="3" spans="1:2">
      <c r="B3" t="s">
        <v>1430</v>
      </c>
    </row>
    <row r="4" spans="1:2">
      <c r="B4" t="s">
        <v>1431</v>
      </c>
    </row>
    <row r="5" spans="1:2">
      <c r="B5" t="s">
        <v>1432</v>
      </c>
    </row>
    <row r="6" spans="1:2">
      <c r="B6" t="s">
        <v>1433</v>
      </c>
    </row>
    <row r="7" spans="1:2">
      <c r="B7" t="s">
        <v>1434</v>
      </c>
    </row>
    <row r="8" spans="1:2">
      <c r="B8" t="s">
        <v>1435</v>
      </c>
    </row>
    <row r="9" spans="1:2">
      <c r="B9" t="s">
        <v>1436</v>
      </c>
    </row>
    <row r="10" spans="1:2">
      <c r="B10" t="s">
        <v>1437</v>
      </c>
    </row>
    <row r="11" spans="1:2">
      <c r="B11" t="s">
        <v>1438</v>
      </c>
    </row>
    <row r="12" spans="1:2">
      <c r="B12" t="s">
        <v>1439</v>
      </c>
    </row>
    <row r="13" spans="1:2">
      <c r="B13" t="s">
        <v>1440</v>
      </c>
    </row>
    <row r="14" spans="1:2">
      <c r="B14" t="s">
        <v>1441</v>
      </c>
    </row>
    <row r="15" spans="1:2">
      <c r="B15" t="s">
        <v>1442</v>
      </c>
    </row>
    <row r="16" spans="1:2">
      <c r="B16" t="s">
        <v>1443</v>
      </c>
    </row>
    <row r="17" spans="2:2">
      <c r="B17" t="s">
        <v>1444</v>
      </c>
    </row>
    <row r="18" spans="2:2">
      <c r="B18" t="s">
        <v>1445</v>
      </c>
    </row>
    <row r="19" spans="2:2">
      <c r="B19" t="s">
        <v>1446</v>
      </c>
    </row>
    <row r="20" spans="2:2">
      <c r="B20" t="s">
        <v>1447</v>
      </c>
    </row>
    <row r="21" spans="2:2">
      <c r="B21" t="s">
        <v>1448</v>
      </c>
    </row>
    <row r="22" spans="2:2">
      <c r="B22" t="s">
        <v>1449</v>
      </c>
    </row>
    <row r="23" spans="2:2">
      <c r="B23" t="s">
        <v>1450</v>
      </c>
    </row>
    <row r="24" spans="2:2">
      <c r="B24" t="s">
        <v>1451</v>
      </c>
    </row>
    <row r="25" spans="2:2">
      <c r="B25" t="s">
        <v>1452</v>
      </c>
    </row>
    <row r="26" spans="2:2">
      <c r="B26" t="s">
        <v>1453</v>
      </c>
    </row>
    <row r="27" spans="2:2">
      <c r="B27" t="s">
        <v>1454</v>
      </c>
    </row>
    <row r="28" spans="2:2">
      <c r="B28" t="s">
        <v>1455</v>
      </c>
    </row>
    <row r="29" spans="2:2">
      <c r="B29" t="s">
        <v>1456</v>
      </c>
    </row>
    <row r="30" spans="2:2">
      <c r="B30" t="s">
        <v>1457</v>
      </c>
    </row>
    <row r="31" spans="2:2">
      <c r="B31" t="s">
        <v>1458</v>
      </c>
    </row>
    <row r="32" spans="2:2">
      <c r="B32" t="s">
        <v>1459</v>
      </c>
    </row>
    <row r="33" spans="2:2">
      <c r="B33" t="s">
        <v>1460</v>
      </c>
    </row>
    <row r="34" spans="2:2">
      <c r="B34" t="s">
        <v>1461</v>
      </c>
    </row>
    <row r="35" spans="2:2">
      <c r="B35" t="s">
        <v>1462</v>
      </c>
    </row>
    <row r="36" spans="2:2">
      <c r="B36" t="s">
        <v>1463</v>
      </c>
    </row>
    <row r="37" spans="2:2">
      <c r="B37" t="s">
        <v>1464</v>
      </c>
    </row>
    <row r="38" spans="2:2">
      <c r="B38" t="s">
        <v>1465</v>
      </c>
    </row>
    <row r="39" spans="2:2">
      <c r="B39" t="s">
        <v>1466</v>
      </c>
    </row>
    <row r="40" spans="2:2">
      <c r="B40" t="s">
        <v>1467</v>
      </c>
    </row>
    <row r="41" spans="2:2">
      <c r="B41" t="s">
        <v>1468</v>
      </c>
    </row>
    <row r="42" spans="2:2">
      <c r="B42" t="s">
        <v>1469</v>
      </c>
    </row>
    <row r="43" spans="2:2">
      <c r="B43" t="s">
        <v>1199</v>
      </c>
    </row>
    <row r="44" spans="2:2">
      <c r="B44" t="s">
        <v>1470</v>
      </c>
    </row>
    <row r="45" spans="2:2">
      <c r="B45" t="s">
        <v>1471</v>
      </c>
    </row>
    <row r="46" spans="2:2">
      <c r="B46" t="s">
        <v>1472</v>
      </c>
    </row>
    <row r="47" spans="2:2">
      <c r="B47" t="s">
        <v>1473</v>
      </c>
    </row>
    <row r="48" spans="2:2">
      <c r="B48" t="s">
        <v>1474</v>
      </c>
    </row>
    <row r="49" spans="2:2">
      <c r="B49" t="s">
        <v>1475</v>
      </c>
    </row>
    <row r="50" spans="2:2">
      <c r="B50" t="s">
        <v>1476</v>
      </c>
    </row>
    <row r="51" spans="2:2">
      <c r="B51" t="s">
        <v>1477</v>
      </c>
    </row>
    <row r="52" spans="2:2">
      <c r="B52" t="s">
        <v>1478</v>
      </c>
    </row>
    <row r="53" spans="2:2">
      <c r="B53" t="s">
        <v>1479</v>
      </c>
    </row>
    <row r="54" spans="2:2">
      <c r="B54" t="s">
        <v>1480</v>
      </c>
    </row>
    <row r="55" spans="2:2">
      <c r="B55" t="s">
        <v>1481</v>
      </c>
    </row>
    <row r="56" spans="2:2">
      <c r="B56" t="s">
        <v>1482</v>
      </c>
    </row>
    <row r="57" spans="2:2">
      <c r="B57" t="s">
        <v>1483</v>
      </c>
    </row>
    <row r="58" spans="2:2">
      <c r="B58" t="s">
        <v>1484</v>
      </c>
    </row>
    <row r="59" spans="2:2">
      <c r="B59" t="s">
        <v>1485</v>
      </c>
    </row>
    <row r="60" spans="2:2">
      <c r="B60" t="s">
        <v>1486</v>
      </c>
    </row>
    <row r="61" spans="2:2">
      <c r="B61" t="s">
        <v>1487</v>
      </c>
    </row>
    <row r="62" spans="2:2">
      <c r="B62" t="s">
        <v>1488</v>
      </c>
    </row>
    <row r="63" spans="2:2">
      <c r="B63" t="s">
        <v>1489</v>
      </c>
    </row>
    <row r="64" spans="2:2">
      <c r="B64" t="s">
        <v>1490</v>
      </c>
    </row>
    <row r="65" spans="2:2">
      <c r="B65" t="s">
        <v>1491</v>
      </c>
    </row>
    <row r="66" spans="2:2">
      <c r="B66" t="s">
        <v>1492</v>
      </c>
    </row>
    <row r="67" spans="2:2">
      <c r="B67" t="s">
        <v>1493</v>
      </c>
    </row>
    <row r="68" spans="2:2">
      <c r="B68" t="s">
        <v>1494</v>
      </c>
    </row>
    <row r="69" spans="2:2">
      <c r="B69" t="s">
        <v>1495</v>
      </c>
    </row>
    <row r="70" spans="2:2">
      <c r="B70" t="s">
        <v>1496</v>
      </c>
    </row>
    <row r="71" spans="2:2">
      <c r="B71" t="s">
        <v>1497</v>
      </c>
    </row>
    <row r="72" spans="2:2">
      <c r="B72" t="s">
        <v>1498</v>
      </c>
    </row>
    <row r="73" spans="2:2">
      <c r="B73" t="s">
        <v>1499</v>
      </c>
    </row>
    <row r="74" spans="2:2">
      <c r="B74" t="s">
        <v>1500</v>
      </c>
    </row>
    <row r="75" spans="2:2">
      <c r="B75" t="s">
        <v>1501</v>
      </c>
    </row>
    <row r="76" spans="2:2">
      <c r="B76" t="s">
        <v>1502</v>
      </c>
    </row>
    <row r="77" spans="2:2">
      <c r="B77" t="s">
        <v>1503</v>
      </c>
    </row>
    <row r="78" spans="2:2">
      <c r="B78" t="s">
        <v>1504</v>
      </c>
    </row>
    <row r="79" spans="2:2">
      <c r="B79" t="s">
        <v>1505</v>
      </c>
    </row>
    <row r="80" spans="2:2">
      <c r="B80" t="s">
        <v>1506</v>
      </c>
    </row>
    <row r="81" spans="2:2">
      <c r="B81" t="s">
        <v>1301</v>
      </c>
    </row>
    <row r="82" spans="2:2">
      <c r="B82" t="s">
        <v>1507</v>
      </c>
    </row>
    <row r="83" spans="2:2">
      <c r="B83" t="s">
        <v>1508</v>
      </c>
    </row>
    <row r="84" spans="2:2">
      <c r="B84" t="s">
        <v>1509</v>
      </c>
    </row>
    <row r="85" spans="2:2">
      <c r="B85" t="s">
        <v>1510</v>
      </c>
    </row>
    <row r="86" spans="2:2">
      <c r="B86" t="s">
        <v>1511</v>
      </c>
    </row>
    <row r="87" spans="2:2">
      <c r="B87" t="s">
        <v>1512</v>
      </c>
    </row>
    <row r="88" spans="2:2">
      <c r="B88" t="s">
        <v>1513</v>
      </c>
    </row>
    <row r="89" spans="2:2">
      <c r="B89" t="s">
        <v>1514</v>
      </c>
    </row>
    <row r="90" spans="2:2">
      <c r="B90" t="s">
        <v>1515</v>
      </c>
    </row>
    <row r="91" spans="2:2">
      <c r="B91" t="s">
        <v>1516</v>
      </c>
    </row>
    <row r="92" spans="2:2">
      <c r="B92" t="s">
        <v>1517</v>
      </c>
    </row>
    <row r="93" spans="2:2">
      <c r="B93" t="s">
        <v>1518</v>
      </c>
    </row>
    <row r="94" spans="2:2">
      <c r="B94" t="s">
        <v>1519</v>
      </c>
    </row>
    <row r="95" spans="2:2">
      <c r="B95" t="s">
        <v>1520</v>
      </c>
    </row>
    <row r="96" spans="2:2">
      <c r="B96" t="s">
        <v>1521</v>
      </c>
    </row>
    <row r="97" spans="2:2">
      <c r="B97" t="s">
        <v>1522</v>
      </c>
    </row>
    <row r="98" spans="2:2">
      <c r="B98" t="s">
        <v>1523</v>
      </c>
    </row>
    <row r="99" spans="2:2">
      <c r="B99" t="s">
        <v>1322</v>
      </c>
    </row>
    <row r="100" spans="2:2">
      <c r="B100" t="s">
        <v>1524</v>
      </c>
    </row>
    <row r="101" spans="2:2">
      <c r="B101" t="s">
        <v>1525</v>
      </c>
    </row>
    <row r="102" spans="2:2">
      <c r="B102" t="s">
        <v>1526</v>
      </c>
    </row>
    <row r="103" spans="2:2">
      <c r="B103" t="s">
        <v>1527</v>
      </c>
    </row>
    <row r="104" spans="2:2">
      <c r="B104" t="s">
        <v>1528</v>
      </c>
    </row>
    <row r="105" spans="2:2">
      <c r="B105" t="s">
        <v>1529</v>
      </c>
    </row>
    <row r="106" spans="2:2">
      <c r="B106" t="s">
        <v>1530</v>
      </c>
    </row>
    <row r="107" spans="2:2">
      <c r="B107" t="s">
        <v>1531</v>
      </c>
    </row>
    <row r="108" spans="2:2">
      <c r="B108" t="s">
        <v>1532</v>
      </c>
    </row>
    <row r="109" spans="2:2">
      <c r="B109" t="s">
        <v>1533</v>
      </c>
    </row>
    <row r="110" spans="2:2">
      <c r="B110" t="s">
        <v>1534</v>
      </c>
    </row>
    <row r="111" spans="2:2">
      <c r="B111" t="s">
        <v>1535</v>
      </c>
    </row>
    <row r="112" spans="2:2">
      <c r="B112" t="s">
        <v>1536</v>
      </c>
    </row>
    <row r="113" spans="2:2">
      <c r="B113" t="s">
        <v>1345</v>
      </c>
    </row>
    <row r="114" spans="2:2">
      <c r="B114" t="s">
        <v>1537</v>
      </c>
    </row>
    <row r="115" spans="2:2">
      <c r="B115" t="s">
        <v>1538</v>
      </c>
    </row>
    <row r="116" spans="2:2">
      <c r="B116" t="s">
        <v>1539</v>
      </c>
    </row>
    <row r="117" spans="2:2">
      <c r="B117" t="s">
        <v>1540</v>
      </c>
    </row>
    <row r="118" spans="2:2">
      <c r="B118" t="s">
        <v>1541</v>
      </c>
    </row>
    <row r="119" spans="2:2">
      <c r="B119" t="s">
        <v>1542</v>
      </c>
    </row>
    <row r="120" spans="2:2">
      <c r="B120" t="s">
        <v>1543</v>
      </c>
    </row>
    <row r="121" spans="2:2">
      <c r="B121" t="s">
        <v>1544</v>
      </c>
    </row>
    <row r="122" spans="2:2">
      <c r="B122" t="s">
        <v>1545</v>
      </c>
    </row>
    <row r="123" spans="2:2">
      <c r="B123" t="s">
        <v>1546</v>
      </c>
    </row>
    <row r="124" spans="2:2">
      <c r="B124" t="s">
        <v>1547</v>
      </c>
    </row>
    <row r="125" spans="2:2">
      <c r="B125" t="s">
        <v>1548</v>
      </c>
    </row>
    <row r="126" spans="2:2">
      <c r="B126" t="s">
        <v>1353</v>
      </c>
    </row>
    <row r="127" spans="2:2">
      <c r="B127" t="s">
        <v>1549</v>
      </c>
    </row>
    <row r="128" spans="2:2">
      <c r="B128" t="s">
        <v>1550</v>
      </c>
    </row>
    <row r="129" spans="2:2">
      <c r="B129" t="s">
        <v>1551</v>
      </c>
    </row>
    <row r="130" spans="2:2">
      <c r="B130" t="s">
        <v>1552</v>
      </c>
    </row>
    <row r="131" spans="2:2">
      <c r="B131" t="s">
        <v>1553</v>
      </c>
    </row>
    <row r="132" spans="2:2">
      <c r="B132" t="s">
        <v>1554</v>
      </c>
    </row>
    <row r="133" spans="2:2">
      <c r="B133" t="s">
        <v>1361</v>
      </c>
    </row>
    <row r="134" spans="2:2">
      <c r="B134" t="s">
        <v>1555</v>
      </c>
    </row>
    <row r="135" spans="2:2">
      <c r="B135" t="s">
        <v>1556</v>
      </c>
    </row>
    <row r="136" spans="2:2">
      <c r="B136" t="s">
        <v>1557</v>
      </c>
    </row>
    <row r="137" spans="2:2">
      <c r="B137" t="s">
        <v>1558</v>
      </c>
    </row>
    <row r="138" spans="2:2">
      <c r="B138" t="s">
        <v>1559</v>
      </c>
    </row>
    <row r="139" spans="2:2">
      <c r="B139" t="s">
        <v>1560</v>
      </c>
    </row>
    <row r="140" spans="2:2">
      <c r="B140" t="s">
        <v>1561</v>
      </c>
    </row>
    <row r="141" spans="2:2">
      <c r="B141" t="s">
        <v>1376</v>
      </c>
    </row>
  </sheetData>
  <sheetProtection algorithmName="SHA-512" hashValue="PQgI9IB0/QstA2wTFlsHi0O96hQrzIYQ0i/AFbqOC08KAF3h+y3Udl3yx82poAzXXAjbgQjuHmdeQDH3y338hg==" saltValue="yHQGwxE/W682/qnIfm8Y+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34"/>
    <pageSetUpPr fitToPage="1"/>
  </sheetPr>
  <dimension ref="A1:Y87"/>
  <sheetViews>
    <sheetView workbookViewId="0">
      <selection activeCell="D40" sqref="D40"/>
    </sheetView>
  </sheetViews>
  <sheetFormatPr defaultColWidth="9.140625" defaultRowHeight="12"/>
  <cols>
    <col min="1" max="1" width="3.85546875" style="602" customWidth="1"/>
    <col min="2" max="2" width="5.140625" style="603" customWidth="1"/>
    <col min="3" max="3" width="19" style="603" customWidth="1"/>
    <col min="4" max="4" width="21.42578125" style="3" customWidth="1"/>
    <col min="5" max="5" width="1.85546875" style="3" customWidth="1"/>
    <col min="6" max="6" width="3.42578125" style="602" customWidth="1"/>
    <col min="7" max="7" width="3.140625" style="603" customWidth="1"/>
    <col min="8" max="8" width="4.28515625" style="603" customWidth="1"/>
    <col min="9" max="9" width="13.42578125" style="603" customWidth="1"/>
    <col min="10" max="10" width="11.7109375" style="643" customWidth="1"/>
    <col min="11" max="11" width="13.42578125" style="644" customWidth="1"/>
    <col min="12" max="12" width="17" style="645" customWidth="1"/>
    <col min="13" max="13" width="2.28515625" style="603" customWidth="1"/>
    <col min="14" max="14" width="2.85546875" style="602" customWidth="1"/>
    <col min="15" max="15" width="3" style="652" customWidth="1"/>
    <col min="16" max="16" width="10.140625" style="603" customWidth="1"/>
    <col min="17" max="17" width="12" style="603" customWidth="1"/>
    <col min="18" max="18" width="10.42578125" style="653" customWidth="1"/>
    <col min="19" max="21" width="6.7109375" style="603" customWidth="1"/>
    <col min="22" max="22" width="0" style="603" hidden="1" customWidth="1"/>
    <col min="23" max="24" width="2" style="603" hidden="1" customWidth="1"/>
    <col min="25" max="25" width="3" style="603" hidden="1" customWidth="1"/>
    <col min="26" max="26" width="0" style="603" hidden="1" customWidth="1"/>
    <col min="27" max="16384" width="9.140625" style="603"/>
  </cols>
  <sheetData>
    <row r="1" spans="1:20" ht="12.75" thickBot="1">
      <c r="D1" s="604"/>
      <c r="F1" s="605" t="s">
        <v>122</v>
      </c>
      <c r="G1" s="606"/>
      <c r="H1" s="606"/>
      <c r="I1" s="606"/>
      <c r="J1" s="607"/>
      <c r="K1" s="608"/>
      <c r="L1" s="609"/>
      <c r="N1" s="605" t="s">
        <v>123</v>
      </c>
      <c r="O1" s="610"/>
      <c r="P1" s="606"/>
      <c r="Q1" s="606"/>
      <c r="R1" s="663"/>
    </row>
    <row r="2" spans="1:20" ht="13.7" customHeight="1" thickBot="1">
      <c r="A2" s="1900" t="s">
        <v>1609</v>
      </c>
      <c r="B2" s="1901"/>
      <c r="C2" s="1901"/>
      <c r="D2" s="1902"/>
      <c r="E2" s="612"/>
      <c r="F2" s="605"/>
      <c r="G2" s="610" t="s">
        <v>124</v>
      </c>
      <c r="H2" s="606"/>
      <c r="I2" s="606"/>
      <c r="J2" s="607"/>
      <c r="K2" s="606"/>
      <c r="L2" s="952"/>
      <c r="N2" s="613"/>
      <c r="O2" s="615" t="s">
        <v>125</v>
      </c>
      <c r="P2" s="615"/>
      <c r="Q2" s="615"/>
      <c r="R2" s="664"/>
      <c r="S2" s="615"/>
    </row>
    <row r="3" spans="1:20" ht="12.75" thickBot="1">
      <c r="A3" s="611"/>
      <c r="D3" s="603"/>
      <c r="E3" s="612"/>
      <c r="F3" s="613"/>
      <c r="G3" s="47"/>
      <c r="H3" s="47"/>
      <c r="I3" s="616" t="s">
        <v>126</v>
      </c>
      <c r="J3" s="614"/>
      <c r="K3" s="4"/>
      <c r="L3" s="5">
        <v>0</v>
      </c>
      <c r="N3" s="613"/>
      <c r="O3" s="43"/>
      <c r="P3" s="30" t="s">
        <v>127</v>
      </c>
      <c r="Q3" s="47"/>
      <c r="R3" s="665">
        <v>0</v>
      </c>
    </row>
    <row r="4" spans="1:20" ht="12.75" customHeight="1">
      <c r="A4" s="605" t="s">
        <v>128</v>
      </c>
      <c r="B4" s="606"/>
      <c r="C4" s="606"/>
      <c r="D4" s="617"/>
      <c r="E4" s="612"/>
      <c r="F4" s="613"/>
      <c r="G4" s="47"/>
      <c r="H4" s="43" t="s">
        <v>129</v>
      </c>
      <c r="I4" s="47"/>
      <c r="J4" s="614"/>
      <c r="K4" s="47"/>
      <c r="L4" s="6" t="s">
        <v>130</v>
      </c>
      <c r="N4" s="613"/>
      <c r="O4" s="43"/>
      <c r="P4" s="30" t="s">
        <v>131</v>
      </c>
      <c r="Q4" s="47"/>
      <c r="R4" s="665">
        <v>0</v>
      </c>
    </row>
    <row r="5" spans="1:20">
      <c r="A5" s="613"/>
      <c r="B5" s="47" t="s">
        <v>132</v>
      </c>
      <c r="C5" s="47"/>
      <c r="D5" s="7">
        <v>1</v>
      </c>
      <c r="E5" s="612"/>
      <c r="F5" s="618"/>
      <c r="G5" s="47"/>
      <c r="H5" s="47"/>
      <c r="I5" s="47" t="s">
        <v>133</v>
      </c>
      <c r="J5" s="614"/>
      <c r="K5" s="1908" t="s">
        <v>134</v>
      </c>
      <c r="L5" s="1909"/>
      <c r="N5" s="613"/>
      <c r="O5" s="43"/>
      <c r="P5" s="30" t="s">
        <v>135</v>
      </c>
      <c r="Q5" s="47"/>
      <c r="R5" s="665">
        <v>0</v>
      </c>
    </row>
    <row r="6" spans="1:20">
      <c r="A6" s="613"/>
      <c r="B6" s="47" t="s">
        <v>136</v>
      </c>
      <c r="C6" s="47"/>
      <c r="D6" s="722" t="s">
        <v>137</v>
      </c>
      <c r="E6" s="612"/>
      <c r="F6" s="613"/>
      <c r="G6" s="47"/>
      <c r="H6" s="47"/>
      <c r="I6" s="47"/>
      <c r="J6" s="614"/>
      <c r="K6" s="1908"/>
      <c r="L6" s="1909"/>
      <c r="N6" s="613"/>
      <c r="O6" s="43"/>
      <c r="P6" s="30" t="s">
        <v>138</v>
      </c>
      <c r="Q6" s="47"/>
      <c r="R6" s="665">
        <v>0</v>
      </c>
      <c r="T6" s="619"/>
    </row>
    <row r="7" spans="1:20">
      <c r="A7" s="613"/>
      <c r="B7" s="47" t="s">
        <v>139</v>
      </c>
      <c r="C7" s="47"/>
      <c r="D7" s="8" t="s">
        <v>140</v>
      </c>
      <c r="F7" s="613"/>
      <c r="G7" s="47"/>
      <c r="H7" s="47"/>
      <c r="I7" s="620" t="s">
        <v>141</v>
      </c>
      <c r="J7" s="620"/>
      <c r="K7" s="621"/>
      <c r="L7" s="9">
        <v>3.1199999999999999E-2</v>
      </c>
      <c r="M7" s="10"/>
      <c r="N7" s="613"/>
      <c r="O7" s="43"/>
      <c r="P7" s="30" t="s">
        <v>142</v>
      </c>
      <c r="Q7" s="47"/>
      <c r="R7" s="665">
        <v>0</v>
      </c>
    </row>
    <row r="8" spans="1:20">
      <c r="A8" s="613"/>
      <c r="B8" s="47" t="s">
        <v>143</v>
      </c>
      <c r="C8" s="47"/>
      <c r="D8" s="7"/>
      <c r="F8" s="613"/>
      <c r="G8" s="47"/>
      <c r="H8" s="43" t="s">
        <v>144</v>
      </c>
      <c r="I8" s="47"/>
      <c r="J8" s="614"/>
      <c r="K8" s="11"/>
      <c r="L8" s="6" t="s">
        <v>145</v>
      </c>
      <c r="N8" s="613"/>
      <c r="O8" s="43"/>
      <c r="P8" s="30" t="s">
        <v>146</v>
      </c>
      <c r="Q8" s="47"/>
      <c r="R8" s="665">
        <v>0</v>
      </c>
    </row>
    <row r="9" spans="1:20">
      <c r="A9" s="613"/>
      <c r="B9" s="47" t="s">
        <v>147</v>
      </c>
      <c r="C9" s="47"/>
      <c r="D9" s="938" t="s">
        <v>148</v>
      </c>
      <c r="E9" s="12"/>
      <c r="F9" s="13"/>
      <c r="G9" s="14"/>
      <c r="H9" s="47"/>
      <c r="I9" s="47" t="s">
        <v>149</v>
      </c>
      <c r="J9" s="614"/>
      <c r="K9" s="1910" t="s">
        <v>150</v>
      </c>
      <c r="L9" s="1911"/>
      <c r="N9" s="613"/>
      <c r="O9" s="43"/>
      <c r="P9" s="30" t="s">
        <v>151</v>
      </c>
      <c r="Q9" s="47"/>
      <c r="R9" s="665">
        <v>0</v>
      </c>
    </row>
    <row r="10" spans="1:20" ht="12.75" thickBot="1">
      <c r="A10" s="613"/>
      <c r="B10" s="47" t="s">
        <v>152</v>
      </c>
      <c r="C10" s="47"/>
      <c r="D10" s="938" t="s">
        <v>153</v>
      </c>
      <c r="E10" s="15"/>
      <c r="F10" s="613"/>
      <c r="G10" s="47"/>
      <c r="H10" s="47"/>
      <c r="I10" s="47" t="s">
        <v>154</v>
      </c>
      <c r="J10" s="614"/>
      <c r="K10" s="4"/>
      <c r="L10" s="16" t="s">
        <v>130</v>
      </c>
      <c r="M10" s="47"/>
      <c r="N10" s="622"/>
      <c r="O10" s="623"/>
      <c r="P10" s="624" t="s">
        <v>155</v>
      </c>
      <c r="Q10" s="625"/>
      <c r="R10" s="666">
        <v>0</v>
      </c>
    </row>
    <row r="11" spans="1:20" ht="12.75" customHeight="1">
      <c r="A11" s="613"/>
      <c r="B11" s="47" t="s">
        <v>156</v>
      </c>
      <c r="C11" s="47"/>
      <c r="D11" s="17"/>
      <c r="E11" s="18"/>
      <c r="F11" s="613"/>
      <c r="G11" s="47"/>
      <c r="H11" s="620"/>
      <c r="I11" s="620" t="s">
        <v>157</v>
      </c>
      <c r="J11" s="626"/>
      <c r="K11" s="19"/>
      <c r="L11" s="9">
        <v>0.08</v>
      </c>
      <c r="M11" s="47"/>
      <c r="N11" s="613"/>
      <c r="O11" s="614" t="s">
        <v>158</v>
      </c>
      <c r="P11" s="47"/>
      <c r="Q11" s="47"/>
      <c r="R11" s="667">
        <v>7.0000000000000007E-2</v>
      </c>
    </row>
    <row r="12" spans="1:20">
      <c r="A12" s="613"/>
      <c r="B12" s="47" t="s">
        <v>159</v>
      </c>
      <c r="C12" s="47"/>
      <c r="D12" s="7" t="s">
        <v>160</v>
      </c>
      <c r="E12" s="15"/>
      <c r="F12" s="613"/>
      <c r="G12" s="47"/>
      <c r="H12" s="47" t="s">
        <v>161</v>
      </c>
      <c r="I12" s="47"/>
      <c r="J12" s="614"/>
      <c r="K12" s="1912" t="s">
        <v>162</v>
      </c>
      <c r="L12" s="1913"/>
      <c r="M12" s="20"/>
      <c r="N12" s="613"/>
      <c r="O12" s="614" t="s">
        <v>163</v>
      </c>
      <c r="P12" s="47"/>
      <c r="Q12" s="47"/>
      <c r="R12" s="667">
        <v>0.02</v>
      </c>
    </row>
    <row r="13" spans="1:20" ht="12.75" customHeight="1">
      <c r="A13" s="613"/>
      <c r="B13" s="47" t="s">
        <v>164</v>
      </c>
      <c r="C13" s="47"/>
      <c r="D13" s="658" t="str">
        <f>IF(Deal_Overview!Z1&lt;&gt;0,Deal_Overview!Z1,IF(Deal_Overview!Z2&lt;&gt;0,Deal_Overview!Z2,IF(Deal_Overview!Z3&lt;&gt;0,Deal_Overview!Z3,IF(Deal_Overview!Z4&lt;&gt;0,Deal_Overview!Z4,IF(Deal_Overview!Z5&lt;&gt;0,Deal_Overview!Z5,IF(Deal_Overview!Z6&lt;&gt;0,Deal_Overview!Z6,IF(Deal_Overview!Z7&lt;&gt;0,Deal_Overview!Z7,"")))))))</f>
        <v>Daniel La Spata</v>
      </c>
      <c r="E13" s="15"/>
      <c r="F13" s="613"/>
      <c r="G13" s="47"/>
      <c r="H13" s="47"/>
      <c r="I13" s="21" t="s">
        <v>165</v>
      </c>
      <c r="J13" s="21"/>
      <c r="K13" s="22" t="s">
        <v>166</v>
      </c>
      <c r="L13" s="23">
        <v>2022</v>
      </c>
      <c r="M13" s="24"/>
      <c r="N13" s="613"/>
      <c r="O13" s="614" t="s">
        <v>167</v>
      </c>
      <c r="P13" s="47"/>
      <c r="Q13" s="47"/>
      <c r="R13" s="667">
        <v>0</v>
      </c>
    </row>
    <row r="14" spans="1:20" ht="12.75" thickBot="1">
      <c r="A14" s="613"/>
      <c r="B14" s="47" t="s">
        <v>168</v>
      </c>
      <c r="C14" s="47"/>
      <c r="D14" s="7"/>
      <c r="E14" s="15"/>
      <c r="F14" s="613"/>
      <c r="G14" s="47"/>
      <c r="H14" s="47"/>
      <c r="I14" s="21" t="s">
        <v>169</v>
      </c>
      <c r="J14" s="21"/>
      <c r="K14" s="1792" t="s">
        <v>145</v>
      </c>
      <c r="L14" s="25"/>
      <c r="M14" s="26"/>
      <c r="N14" s="613"/>
      <c r="O14" s="614" t="s">
        <v>170</v>
      </c>
      <c r="P14" s="47"/>
      <c r="Q14" s="47"/>
      <c r="R14" s="667">
        <v>0.03</v>
      </c>
    </row>
    <row r="15" spans="1:20">
      <c r="A15" s="613"/>
      <c r="B15" s="603" t="s">
        <v>171</v>
      </c>
      <c r="C15" s="47"/>
      <c r="D15" s="7"/>
      <c r="E15" s="15"/>
      <c r="F15" s="613"/>
      <c r="G15" s="47"/>
      <c r="H15" s="47"/>
      <c r="I15" s="21" t="s">
        <v>172</v>
      </c>
      <c r="J15" s="21"/>
      <c r="K15" s="1792" t="s">
        <v>130</v>
      </c>
      <c r="L15" s="27"/>
      <c r="M15" s="20"/>
      <c r="N15" s="605"/>
      <c r="O15" s="628" t="s">
        <v>173</v>
      </c>
      <c r="P15" s="629"/>
      <c r="Q15" s="630"/>
      <c r="R15" s="668"/>
    </row>
    <row r="16" spans="1:20" ht="14.25" customHeight="1" thickBot="1">
      <c r="A16" s="613"/>
      <c r="B16" s="47" t="s">
        <v>174</v>
      </c>
      <c r="C16" s="47"/>
      <c r="D16" s="7"/>
      <c r="E16" s="15"/>
      <c r="F16" s="613"/>
      <c r="G16" s="47"/>
      <c r="H16" s="47" t="s">
        <v>175</v>
      </c>
      <c r="I16" s="47"/>
      <c r="J16" s="614"/>
      <c r="K16" s="1106">
        <f>'LIHTCs&amp;BLDGs'!B58</f>
        <v>0</v>
      </c>
      <c r="L16" s="28">
        <v>0.8</v>
      </c>
      <c r="M16" s="29"/>
      <c r="N16" s="613"/>
      <c r="O16" s="43"/>
      <c r="P16" s="30" t="s">
        <v>176</v>
      </c>
      <c r="Q16" s="47"/>
      <c r="R16" s="800" t="str">
        <f>IF(K29="Yes","Yes","No")</f>
        <v>No</v>
      </c>
    </row>
    <row r="17" spans="1:25" ht="12.75" thickBot="1">
      <c r="A17" s="613"/>
      <c r="B17" s="47" t="s">
        <v>177</v>
      </c>
      <c r="C17" s="47"/>
      <c r="D17" s="7"/>
      <c r="E17" s="32"/>
      <c r="F17" s="622"/>
      <c r="G17" s="625"/>
      <c r="H17" s="955" t="s">
        <v>178</v>
      </c>
      <c r="I17" s="639"/>
      <c r="J17" s="640"/>
      <c r="K17" s="953">
        <f>'LIHTCs&amp;BLDGs'!B59</f>
        <v>0</v>
      </c>
      <c r="L17" s="954">
        <f>K17*L16*10</f>
        <v>0</v>
      </c>
      <c r="M17" s="47"/>
      <c r="N17" s="613"/>
      <c r="O17" s="43"/>
      <c r="P17" s="30" t="s">
        <v>179</v>
      </c>
      <c r="Q17" s="47"/>
      <c r="R17" s="669" t="s">
        <v>145</v>
      </c>
    </row>
    <row r="18" spans="1:25" ht="15" customHeight="1">
      <c r="A18" s="613"/>
      <c r="B18" s="47"/>
      <c r="C18" s="47" t="s">
        <v>143</v>
      </c>
      <c r="D18" s="7" t="s">
        <v>180</v>
      </c>
      <c r="E18" s="15"/>
      <c r="F18" s="950"/>
      <c r="G18" s="610" t="s">
        <v>181</v>
      </c>
      <c r="H18" s="606"/>
      <c r="I18" s="606"/>
      <c r="J18" s="607"/>
      <c r="K18" s="608"/>
      <c r="L18" s="951" t="s">
        <v>130</v>
      </c>
      <c r="M18" s="26"/>
      <c r="N18" s="613"/>
      <c r="O18" s="43"/>
      <c r="P18" s="30" t="s">
        <v>182</v>
      </c>
      <c r="Q18" s="47"/>
      <c r="R18" s="669" t="s">
        <v>145</v>
      </c>
      <c r="V18" s="633"/>
      <c r="W18" s="633"/>
      <c r="X18" s="633"/>
      <c r="Y18" s="633"/>
    </row>
    <row r="19" spans="1:25">
      <c r="A19" s="613"/>
      <c r="B19" s="47"/>
      <c r="C19" s="47" t="s">
        <v>183</v>
      </c>
      <c r="D19" s="7"/>
      <c r="E19" s="15"/>
      <c r="F19" s="613"/>
      <c r="G19" s="47"/>
      <c r="H19" s="616" t="s">
        <v>126</v>
      </c>
      <c r="I19" s="47"/>
      <c r="J19" s="614"/>
      <c r="K19" s="632"/>
      <c r="L19" s="5">
        <v>0</v>
      </c>
      <c r="M19" s="20"/>
      <c r="N19" s="613"/>
      <c r="O19" s="43"/>
      <c r="P19" s="30" t="s">
        <v>184</v>
      </c>
      <c r="Q19" s="47"/>
      <c r="R19" s="669" t="s">
        <v>130</v>
      </c>
    </row>
    <row r="20" spans="1:25" ht="13.7" customHeight="1">
      <c r="A20" s="613"/>
      <c r="B20" s="47"/>
      <c r="C20" s="47" t="s">
        <v>147</v>
      </c>
      <c r="D20" s="7"/>
      <c r="E20" s="15"/>
      <c r="F20" s="613"/>
      <c r="G20" s="47"/>
      <c r="H20" s="47" t="s">
        <v>133</v>
      </c>
      <c r="I20" s="47"/>
      <c r="J20" s="614"/>
      <c r="K20" s="1914" t="s">
        <v>185</v>
      </c>
      <c r="L20" s="1915"/>
      <c r="M20" s="634"/>
      <c r="N20" s="613"/>
      <c r="O20" s="43"/>
      <c r="P20" s="30" t="s">
        <v>186</v>
      </c>
      <c r="Q20" s="47"/>
      <c r="R20" s="669" t="s">
        <v>145</v>
      </c>
    </row>
    <row r="21" spans="1:25" ht="13.7" customHeight="1">
      <c r="A21" s="613"/>
      <c r="B21" s="47"/>
      <c r="C21" s="47" t="s">
        <v>152</v>
      </c>
      <c r="D21" s="7"/>
      <c r="E21" s="15"/>
      <c r="F21" s="613"/>
      <c r="G21" s="47"/>
      <c r="H21" s="47"/>
      <c r="I21" s="47"/>
      <c r="J21" s="614"/>
      <c r="K21" s="1914"/>
      <c r="L21" s="1915"/>
      <c r="M21" s="635"/>
      <c r="N21" s="613"/>
      <c r="O21" s="43"/>
      <c r="P21" s="30" t="s">
        <v>187</v>
      </c>
      <c r="Q21" s="633"/>
      <c r="R21" s="669" t="s">
        <v>130</v>
      </c>
    </row>
    <row r="22" spans="1:25" ht="12.75" thickBot="1">
      <c r="A22" s="613"/>
      <c r="B22" s="47"/>
      <c r="C22" s="47" t="s">
        <v>188</v>
      </c>
      <c r="D22" s="7"/>
      <c r="E22" s="15"/>
      <c r="F22" s="613"/>
      <c r="G22" s="47"/>
      <c r="H22" s="47" t="s">
        <v>141</v>
      </c>
      <c r="I22" s="47"/>
      <c r="J22" s="614"/>
      <c r="K22" s="631"/>
      <c r="L22" s="688">
        <v>0.2</v>
      </c>
      <c r="N22" s="914"/>
      <c r="O22" s="625"/>
      <c r="P22" s="625"/>
      <c r="Q22" s="1104" t="s">
        <v>189</v>
      </c>
      <c r="R22" s="1105" t="e">
        <f>SUM(PRODUCT('Units&amp;Income'!K8*'Units&amp;Income'!J94)/SUM('Units&amp;Income'!J94,'Units&amp;Income'!X94,'Units&amp;Income'!AE94,'Units&amp;Income'!AL94))+(PRODUCT('Units&amp;Income'!Y8*'Units&amp;Income'!X94)/SUM('Units&amp;Income'!J94,'Units&amp;Income'!X94,'Units&amp;Income'!AE94,'Units&amp;Income'!AL94))+(PRODUCT('Units&amp;Income'!AF8*'Units&amp;Income'!AE94)/SUM('Units&amp;Income'!J94,'Units&amp;Income'!X94,'Units&amp;Income'!AE94,'Units&amp;Income'!AL94))+(PRODUCT('Units&amp;Income'!AM8*'Units&amp;Income'!AL94)/SUM('Units&amp;Income'!J94,'Units&amp;Income'!X94,'Units&amp;Income'!AE94,'Units&amp;Income'!AL94))</f>
        <v>#DIV/0!</v>
      </c>
    </row>
    <row r="23" spans="1:25" ht="12.75" thickBot="1">
      <c r="A23" s="613"/>
      <c r="B23" s="47"/>
      <c r="C23" s="47" t="s">
        <v>190</v>
      </c>
      <c r="D23" s="33"/>
      <c r="E23" s="15"/>
      <c r="F23" s="613"/>
      <c r="G23" s="47"/>
      <c r="H23" s="47" t="s">
        <v>175</v>
      </c>
      <c r="I23" s="47"/>
      <c r="J23" s="614"/>
      <c r="K23" s="1106">
        <f>'LIHTCs&amp;BLDGs'!B74</f>
        <v>0</v>
      </c>
      <c r="L23" s="28">
        <v>0.8</v>
      </c>
      <c r="M23" s="20"/>
      <c r="O23" s="603"/>
    </row>
    <row r="24" spans="1:25" ht="12.75" thickBot="1">
      <c r="A24" s="613"/>
      <c r="B24" s="47"/>
      <c r="C24" s="47" t="s">
        <v>191</v>
      </c>
      <c r="D24" s="33"/>
      <c r="E24" s="15"/>
      <c r="F24" s="622"/>
      <c r="G24" s="625"/>
      <c r="H24" s="955" t="s">
        <v>192</v>
      </c>
      <c r="I24" s="639"/>
      <c r="J24" s="640"/>
      <c r="K24" s="956">
        <f>'LIHTCs&amp;BLDGs'!B75</f>
        <v>0</v>
      </c>
      <c r="L24" s="954">
        <f>'LIHTCs&amp;BLDGs'!B77</f>
        <v>0</v>
      </c>
      <c r="M24" s="47"/>
    </row>
    <row r="25" spans="1:25" ht="12.75" thickBot="1">
      <c r="A25" s="613"/>
      <c r="B25" s="47" t="s">
        <v>193</v>
      </c>
      <c r="C25" s="47"/>
      <c r="D25" s="7" t="s">
        <v>194</v>
      </c>
      <c r="E25" s="15"/>
      <c r="F25" s="637"/>
      <c r="G25" s="638" t="s">
        <v>195</v>
      </c>
      <c r="H25" s="639"/>
      <c r="I25" s="639"/>
      <c r="J25" s="640"/>
      <c r="K25" s="641"/>
      <c r="L25" s="642">
        <f>L24+L17</f>
        <v>0</v>
      </c>
      <c r="M25" s="47"/>
      <c r="N25" s="605" t="s">
        <v>196</v>
      </c>
      <c r="O25" s="606"/>
      <c r="P25" s="606"/>
      <c r="Q25" s="636"/>
      <c r="R25" s="663"/>
    </row>
    <row r="26" spans="1:25">
      <c r="A26" s="613"/>
      <c r="B26" s="47"/>
      <c r="C26" s="47" t="s">
        <v>197</v>
      </c>
      <c r="D26" s="7"/>
      <c r="E26" s="15"/>
      <c r="M26" s="646"/>
      <c r="N26" s="613"/>
      <c r="O26" s="47" t="str">
        <f>IF(D6="Refinancing doh deal", "Refinancing Date","Const. Loan Closing")</f>
        <v>Const. Loan Closing</v>
      </c>
      <c r="P26" s="47"/>
      <c r="Q26" s="47"/>
      <c r="R26" s="670">
        <f ca="1">NOW()</f>
        <v>44629.414563425926</v>
      </c>
    </row>
    <row r="27" spans="1:25" ht="12.75" thickBot="1">
      <c r="A27" s="613"/>
      <c r="B27" s="47"/>
      <c r="C27" s="47" t="s">
        <v>190</v>
      </c>
      <c r="D27" s="33"/>
      <c r="E27" s="36"/>
      <c r="M27" s="635"/>
      <c r="N27" s="613"/>
      <c r="O27" s="47" t="s">
        <v>198</v>
      </c>
      <c r="P27" s="47"/>
      <c r="Q27" s="47"/>
      <c r="R27" s="7">
        <v>24</v>
      </c>
    </row>
    <row r="28" spans="1:25">
      <c r="A28" s="613"/>
      <c r="B28" s="47" t="s">
        <v>199</v>
      </c>
      <c r="C28" s="47"/>
      <c r="D28" s="7"/>
      <c r="E28" s="36"/>
      <c r="F28" s="647" t="s">
        <v>200</v>
      </c>
      <c r="G28" s="648"/>
      <c r="H28" s="648"/>
      <c r="I28" s="648"/>
      <c r="J28" s="649"/>
      <c r="K28" s="659"/>
      <c r="L28" s="660"/>
      <c r="M28" s="651"/>
      <c r="N28" s="613"/>
      <c r="O28" s="47" t="s">
        <v>201</v>
      </c>
      <c r="P28" s="47"/>
      <c r="Q28" s="47"/>
      <c r="R28" s="725">
        <f ca="1">R26+R27*30.4</f>
        <v>45359.014563425924</v>
      </c>
    </row>
    <row r="29" spans="1:25">
      <c r="A29" s="613"/>
      <c r="B29" s="47" t="s">
        <v>202</v>
      </c>
      <c r="C29" s="47"/>
      <c r="D29" s="7"/>
      <c r="E29" s="15"/>
      <c r="F29" s="650"/>
      <c r="G29" s="675" t="s">
        <v>203</v>
      </c>
      <c r="H29" s="675"/>
      <c r="I29" s="675"/>
      <c r="J29" s="676"/>
      <c r="K29" s="931" t="s">
        <v>130</v>
      </c>
      <c r="L29" s="724" t="s">
        <v>204</v>
      </c>
      <c r="N29" s="613"/>
      <c r="O29" s="47" t="s">
        <v>205</v>
      </c>
      <c r="P29" s="47"/>
      <c r="Q29" s="47"/>
      <c r="R29" s="670">
        <f ca="1">R28-30</f>
        <v>45329.014563425924</v>
      </c>
    </row>
    <row r="30" spans="1:25">
      <c r="A30" s="613"/>
      <c r="B30" s="47" t="s">
        <v>206</v>
      </c>
      <c r="C30" s="47"/>
      <c r="D30" s="7"/>
      <c r="E30" s="15"/>
      <c r="F30" s="650"/>
      <c r="G30" s="673" t="s">
        <v>207</v>
      </c>
      <c r="H30" s="673"/>
      <c r="I30" s="673"/>
      <c r="J30" s="674"/>
      <c r="K30" s="932" t="s">
        <v>145</v>
      </c>
      <c r="L30" s="935" t="s">
        <v>208</v>
      </c>
      <c r="N30" s="613"/>
      <c r="O30" s="1917" t="s">
        <v>209</v>
      </c>
      <c r="P30" s="1917"/>
      <c r="Q30" s="1917"/>
      <c r="R30" s="7">
        <v>5</v>
      </c>
    </row>
    <row r="31" spans="1:25" ht="12.75" thickBot="1">
      <c r="A31" s="622"/>
      <c r="B31" s="625" t="s">
        <v>210</v>
      </c>
      <c r="C31" s="625"/>
      <c r="D31" s="38"/>
      <c r="E31" s="36"/>
      <c r="F31" s="650"/>
      <c r="G31" s="673" t="s">
        <v>211</v>
      </c>
      <c r="H31" s="673"/>
      <c r="I31" s="673"/>
      <c r="J31" s="674"/>
      <c r="K31" s="933"/>
      <c r="L31" s="935" t="s">
        <v>208</v>
      </c>
      <c r="N31" s="613"/>
      <c r="O31" s="47" t="s">
        <v>212</v>
      </c>
      <c r="P31" s="47"/>
      <c r="Q31" s="47"/>
      <c r="R31" s="923">
        <f>-1*(Lease_Up!K16+Lease_Up!K30+Lease_Up!K44)</f>
        <v>0</v>
      </c>
    </row>
    <row r="32" spans="1:25" ht="12.75" thickBot="1">
      <c r="E32" s="15"/>
      <c r="F32" s="650"/>
      <c r="G32" s="673" t="s">
        <v>213</v>
      </c>
      <c r="H32" s="673"/>
      <c r="I32" s="673"/>
      <c r="J32" s="674"/>
      <c r="K32" s="934"/>
      <c r="L32" s="935" t="s">
        <v>148</v>
      </c>
      <c r="N32" s="613"/>
      <c r="O32" s="47" t="s">
        <v>214</v>
      </c>
      <c r="P32" s="47"/>
      <c r="Q32" s="47"/>
      <c r="R32" s="967">
        <f ca="1">IF(Lease_Up!E15=100%,Lease_Up!B15, IF(Lease_Up!E29=100%,Lease_Up!B29, IF(Lease_Up!E43=100%,Lease_Up!B43,Lease_Up!B43)))</f>
        <v>2026</v>
      </c>
    </row>
    <row r="33" spans="1:25">
      <c r="A33" s="605" t="s">
        <v>215</v>
      </c>
      <c r="B33" s="606"/>
      <c r="C33" s="606"/>
      <c r="D33" s="609"/>
      <c r="E33" s="15"/>
      <c r="F33" s="650"/>
      <c r="G33" s="21" t="s">
        <v>216</v>
      </c>
      <c r="H33" s="21"/>
      <c r="I33" s="21"/>
      <c r="J33" s="614" t="s">
        <v>217</v>
      </c>
      <c r="K33" s="900">
        <v>2022</v>
      </c>
      <c r="L33" s="901" t="e">
        <f>IF(K33=Max_Limits!#REF!,Max_Limits!#REF!+Max_Limits!K46,IF(K33=Max_Limits!#REF!,Max_Limits!#REF!+Max_Limits!K47,IF(K33=Max_Limits!#REF!,Max_Limits!#REF!+Max_Limits!K48,IF(K33=Max_Limits!#REF!,Max_Limits!#REF!+Max_Limits!K49,IF(K33=Max_Limits!#REF!,Max_Limits!#REF!+Max_Limits!K50,IF(K33=Max_Limits!#REF!,Max_Limits!#REF!+Max_Limits!K51,IF(K33=Max_Limits!#REF!,Max_Limits!#REF!+Max_Limits!K52,IF(K33=Max_Limits!#REF!,Max_Limits!#REF!+Max_Limits!K53,0))))))))</f>
        <v>#REF!</v>
      </c>
      <c r="N33" s="613"/>
      <c r="O33" s="47" t="s">
        <v>218</v>
      </c>
      <c r="P33" s="47"/>
      <c r="Q33" s="47"/>
      <c r="R33" s="967">
        <f ca="1">IF(D6=Lists!P13,Refi!L15,R32+1)</f>
        <v>2027</v>
      </c>
    </row>
    <row r="34" spans="1:25" ht="12.75" thickBot="1">
      <c r="A34" s="613"/>
      <c r="B34" s="47" t="s">
        <v>219</v>
      </c>
      <c r="C34" s="47"/>
      <c r="D34" s="31">
        <v>1</v>
      </c>
      <c r="E34" s="15"/>
      <c r="F34" s="622"/>
      <c r="G34" s="1903" t="s">
        <v>220</v>
      </c>
      <c r="H34" s="1903"/>
      <c r="I34" s="1903"/>
      <c r="J34" s="1903"/>
      <c r="K34" s="957">
        <v>1.8599999999999998E-2</v>
      </c>
      <c r="L34" s="958">
        <v>43964</v>
      </c>
      <c r="N34" s="622"/>
      <c r="O34" s="625" t="s">
        <v>221</v>
      </c>
      <c r="P34" s="625"/>
      <c r="Q34" s="625"/>
      <c r="R34" s="671">
        <v>0.03</v>
      </c>
    </row>
    <row r="35" spans="1:25" ht="13.7" customHeight="1" thickBot="1">
      <c r="A35" s="613"/>
      <c r="B35" s="47" t="s">
        <v>222</v>
      </c>
      <c r="C35" s="47"/>
      <c r="D35" s="31">
        <v>1</v>
      </c>
      <c r="E35" s="15"/>
      <c r="F35" s="1905"/>
      <c r="G35" s="1906"/>
      <c r="H35" s="1906"/>
      <c r="I35" s="1906"/>
      <c r="J35" s="1906"/>
      <c r="K35" s="1906"/>
      <c r="L35" s="1907"/>
      <c r="N35" s="605" t="s">
        <v>223</v>
      </c>
      <c r="O35" s="610"/>
      <c r="P35" s="606"/>
      <c r="Q35" s="606"/>
      <c r="R35" s="916"/>
    </row>
    <row r="36" spans="1:25" ht="13.7" customHeight="1">
      <c r="A36" s="613"/>
      <c r="B36" s="47" t="s">
        <v>224</v>
      </c>
      <c r="C36" s="43"/>
      <c r="D36" s="1789">
        <v>0</v>
      </c>
      <c r="G36" s="930"/>
      <c r="H36" s="930"/>
      <c r="I36" s="930"/>
      <c r="J36" s="930"/>
      <c r="K36" s="930"/>
      <c r="L36" s="930"/>
      <c r="N36" s="613"/>
      <c r="O36" s="43" t="s">
        <v>225</v>
      </c>
      <c r="P36" s="47"/>
      <c r="Q36" s="47"/>
      <c r="R36" s="917">
        <v>0</v>
      </c>
    </row>
    <row r="37" spans="1:25" ht="12.75" customHeight="1">
      <c r="A37" s="613"/>
      <c r="B37" s="47" t="s">
        <v>226</v>
      </c>
      <c r="C37" s="47"/>
      <c r="D37" s="45"/>
      <c r="E37" s="42"/>
      <c r="F37" s="930"/>
      <c r="G37" s="930"/>
      <c r="H37" s="930"/>
      <c r="I37" s="930"/>
      <c r="J37" s="930"/>
      <c r="K37" s="930"/>
      <c r="L37" s="930"/>
      <c r="N37" s="613"/>
      <c r="O37" s="43"/>
      <c r="P37" s="47" t="s">
        <v>227</v>
      </c>
      <c r="Q37" s="47"/>
      <c r="R37" s="918">
        <v>43952</v>
      </c>
    </row>
    <row r="38" spans="1:25" ht="12.75" customHeight="1">
      <c r="A38" s="613"/>
      <c r="B38" s="47" t="s">
        <v>228</v>
      </c>
      <c r="C38" s="47"/>
      <c r="D38" s="45">
        <v>100000</v>
      </c>
      <c r="E38" s="44"/>
      <c r="N38" s="613"/>
      <c r="O38" s="43" t="s">
        <v>229</v>
      </c>
      <c r="P38" s="47"/>
      <c r="Q38" s="47"/>
      <c r="R38" s="917"/>
    </row>
    <row r="39" spans="1:25" ht="12.75" customHeight="1" thickBot="1">
      <c r="A39" s="613"/>
      <c r="B39" s="47" t="s">
        <v>230</v>
      </c>
      <c r="C39" s="47"/>
      <c r="D39" s="45">
        <v>100000</v>
      </c>
      <c r="E39" s="44"/>
      <c r="N39" s="622"/>
      <c r="O39" s="623"/>
      <c r="P39" s="625" t="s">
        <v>227</v>
      </c>
      <c r="Q39" s="625"/>
      <c r="R39" s="919">
        <v>43952</v>
      </c>
    </row>
    <row r="40" spans="1:25" ht="12.75" customHeight="1" thickBot="1">
      <c r="A40" s="613"/>
      <c r="B40" s="47" t="s">
        <v>231</v>
      </c>
      <c r="C40" s="47"/>
      <c r="D40" s="45">
        <v>0</v>
      </c>
      <c r="E40" s="44"/>
      <c r="I40" s="903" t="s">
        <v>232</v>
      </c>
      <c r="J40" s="902"/>
      <c r="K40" s="902"/>
      <c r="L40" s="42"/>
      <c r="M40" s="47"/>
      <c r="N40" s="902"/>
      <c r="O40" s="902"/>
      <c r="P40" s="902"/>
      <c r="Q40" s="47"/>
      <c r="R40" s="47"/>
    </row>
    <row r="41" spans="1:25" ht="12.75" customHeight="1">
      <c r="A41" s="613"/>
      <c r="B41" s="47" t="s">
        <v>233</v>
      </c>
      <c r="C41" s="47"/>
      <c r="D41" s="1789" t="s">
        <v>234</v>
      </c>
      <c r="E41" s="46"/>
      <c r="I41" s="904" t="s">
        <v>235</v>
      </c>
      <c r="J41" s="610"/>
      <c r="K41" s="1788" t="s">
        <v>236</v>
      </c>
      <c r="L41" s="1788" t="s">
        <v>237</v>
      </c>
      <c r="M41" s="1904" t="s">
        <v>238</v>
      </c>
      <c r="N41" s="1904"/>
      <c r="O41" s="1904"/>
      <c r="P41" s="1788" t="s">
        <v>239</v>
      </c>
      <c r="Q41" s="1788" t="s">
        <v>240</v>
      </c>
      <c r="R41" s="905" t="s">
        <v>241</v>
      </c>
    </row>
    <row r="42" spans="1:25" ht="13.7" customHeight="1" thickBot="1">
      <c r="A42" s="622"/>
      <c r="B42" s="625" t="s">
        <v>242</v>
      </c>
      <c r="C42" s="625"/>
      <c r="D42" s="48" t="s">
        <v>243</v>
      </c>
      <c r="E42" s="46"/>
      <c r="I42" s="654" t="s">
        <v>244</v>
      </c>
      <c r="J42" s="43"/>
      <c r="K42" s="34">
        <v>0</v>
      </c>
      <c r="L42" s="1102">
        <v>0</v>
      </c>
      <c r="M42" s="1918">
        <v>0</v>
      </c>
      <c r="N42" s="1918"/>
      <c r="O42" s="1918"/>
      <c r="P42" s="34">
        <v>0</v>
      </c>
      <c r="Q42" s="34">
        <v>0</v>
      </c>
      <c r="R42" s="35">
        <v>0</v>
      </c>
    </row>
    <row r="43" spans="1:25" ht="13.7" customHeight="1" thickBot="1">
      <c r="E43" s="49"/>
      <c r="I43" s="654" t="s">
        <v>245</v>
      </c>
      <c r="J43" s="43"/>
      <c r="K43" s="34">
        <v>0</v>
      </c>
      <c r="L43" s="1102">
        <v>0</v>
      </c>
      <c r="M43" s="1918">
        <v>0</v>
      </c>
      <c r="N43" s="1918"/>
      <c r="O43" s="1918"/>
      <c r="P43" s="34">
        <v>0</v>
      </c>
      <c r="Q43" s="34">
        <v>0</v>
      </c>
      <c r="R43" s="35">
        <v>0</v>
      </c>
    </row>
    <row r="44" spans="1:25" ht="14.25" customHeight="1">
      <c r="A44" s="605" t="s">
        <v>246</v>
      </c>
      <c r="B44" s="606"/>
      <c r="C44" s="606"/>
      <c r="D44" s="609"/>
      <c r="E44" s="47"/>
      <c r="F44" s="47"/>
      <c r="I44" s="654" t="s">
        <v>247</v>
      </c>
      <c r="J44" s="43"/>
      <c r="K44" s="34">
        <v>0</v>
      </c>
      <c r="L44" s="1102">
        <v>0</v>
      </c>
      <c r="M44" s="1918">
        <v>0</v>
      </c>
      <c r="N44" s="1918"/>
      <c r="O44" s="1918"/>
      <c r="P44" s="34">
        <v>0</v>
      </c>
      <c r="Q44" s="34">
        <v>0</v>
      </c>
      <c r="R44" s="35">
        <v>0</v>
      </c>
      <c r="W44" s="3">
        <f>IF(OpProforma!G$76&lt;0,Y44,0)</f>
        <v>0</v>
      </c>
      <c r="X44" s="3">
        <f>IF(W44&gt;0,Y44,IF(W46&gt;0,Y46,IF(W47&gt;0,Y47,IF(W50&gt;0,W50, IF(W51&gt;0,W51,0)))))</f>
        <v>0</v>
      </c>
      <c r="Y44" s="603">
        <v>1</v>
      </c>
    </row>
    <row r="45" spans="1:25" ht="14.25" customHeight="1">
      <c r="A45" s="613"/>
      <c r="B45" s="47" t="s">
        <v>248</v>
      </c>
      <c r="C45" s="47"/>
      <c r="D45" s="899" t="str">
        <f>IF(DevCosts!D19=0,"",SUM(DevCosts!D16,DevCosts!D54)/(SUM(DevCosts!D13:D15,DevCosts!D48)))</f>
        <v/>
      </c>
      <c r="E45" s="47"/>
      <c r="F45" s="47"/>
      <c r="I45" s="654" t="s">
        <v>249</v>
      </c>
      <c r="J45" s="43"/>
      <c r="K45" s="34">
        <v>0</v>
      </c>
      <c r="L45" s="1102">
        <v>0</v>
      </c>
      <c r="M45" s="1918">
        <v>0</v>
      </c>
      <c r="N45" s="1918"/>
      <c r="O45" s="1918"/>
      <c r="P45" s="34">
        <v>0</v>
      </c>
      <c r="Q45" s="34">
        <v>0</v>
      </c>
      <c r="R45" s="35">
        <v>0</v>
      </c>
      <c r="W45" s="3"/>
      <c r="X45" s="3"/>
    </row>
    <row r="46" spans="1:25">
      <c r="A46" s="613"/>
      <c r="B46" s="47" t="s">
        <v>250</v>
      </c>
      <c r="C46" s="47"/>
      <c r="D46" s="924" t="str">
        <f>IF(DevCosts!D19=0,"",SUM(DevCosts!D17,DevCosts!D55)/SUM(DevCosts!D13:D15,DevCosts!D48))</f>
        <v/>
      </c>
      <c r="E46" s="47"/>
      <c r="F46" s="47"/>
      <c r="I46" s="37" t="s">
        <v>251</v>
      </c>
      <c r="J46" s="920"/>
      <c r="K46" s="34">
        <v>0</v>
      </c>
      <c r="L46" s="1102">
        <v>0</v>
      </c>
      <c r="M46" s="1918">
        <v>0</v>
      </c>
      <c r="N46" s="1918"/>
      <c r="O46" s="1918"/>
      <c r="P46" s="34">
        <v>0</v>
      </c>
      <c r="Q46" s="34">
        <v>0</v>
      </c>
      <c r="R46" s="35">
        <v>0</v>
      </c>
      <c r="W46" s="3">
        <f>IF(OpProforma!H$76&lt;0,Y46,0)</f>
        <v>0</v>
      </c>
      <c r="X46" s="3"/>
      <c r="Y46" s="603">
        <f>Y44+1</f>
        <v>2</v>
      </c>
    </row>
    <row r="47" spans="1:25">
      <c r="A47" s="613"/>
      <c r="B47" s="47" t="s">
        <v>252</v>
      </c>
      <c r="C47" s="47"/>
      <c r="D47" s="899" t="str">
        <f>IF(DevCosts!D19=0,"",SUM(DevCosts!D18,DevCosts!D56)/SUM(DevCosts!D13:D15,DevCosts!D48))</f>
        <v/>
      </c>
      <c r="E47" s="12"/>
      <c r="F47" s="634"/>
      <c r="G47" s="47"/>
      <c r="I47" s="37" t="s">
        <v>251</v>
      </c>
      <c r="J47" s="920"/>
      <c r="K47" s="34">
        <v>0</v>
      </c>
      <c r="L47" s="1102">
        <v>0</v>
      </c>
      <c r="M47" s="1918">
        <v>0</v>
      </c>
      <c r="N47" s="1918"/>
      <c r="O47" s="1918"/>
      <c r="P47" s="34">
        <v>0</v>
      </c>
      <c r="Q47" s="34">
        <v>0</v>
      </c>
      <c r="R47" s="35">
        <v>0</v>
      </c>
      <c r="W47" s="3">
        <f>IF(OpProforma!I$76&lt;0,Y47,0)</f>
        <v>0</v>
      </c>
      <c r="X47" s="3"/>
      <c r="Y47" s="603">
        <f t="shared" ref="Y47:Y87" si="0">Y46+1</f>
        <v>3</v>
      </c>
    </row>
    <row r="48" spans="1:25" ht="13.5" customHeight="1" thickBot="1">
      <c r="A48" s="613"/>
      <c r="B48" s="47" t="s">
        <v>253</v>
      </c>
      <c r="C48" s="47"/>
      <c r="D48" s="924" t="str">
        <f>IF(DevCosts!D19=0,"",SUM(DevCosts!D16:D18)/SUM(DevCosts!D13:D15))</f>
        <v/>
      </c>
      <c r="E48" s="12"/>
      <c r="F48" s="634"/>
      <c r="I48" s="39" t="s">
        <v>254</v>
      </c>
      <c r="J48" s="921"/>
      <c r="K48" s="40">
        <v>0</v>
      </c>
      <c r="L48" s="1103">
        <v>0</v>
      </c>
      <c r="M48" s="1916">
        <v>0</v>
      </c>
      <c r="N48" s="1916"/>
      <c r="O48" s="1916"/>
      <c r="P48" s="40">
        <v>0</v>
      </c>
      <c r="Q48" s="40">
        <v>0</v>
      </c>
      <c r="R48" s="41">
        <v>0</v>
      </c>
      <c r="W48" s="3"/>
      <c r="X48" s="3"/>
    </row>
    <row r="49" spans="1:25" ht="13.5" thickTop="1" thickBot="1">
      <c r="A49" s="613"/>
      <c r="B49" s="47" t="s">
        <v>255</v>
      </c>
      <c r="C49" s="47"/>
      <c r="D49" s="924" t="str">
        <f>IF(DevCosts!D20=0,"",SUM(DevCosts!D54:D56)/DevCosts!D48)</f>
        <v/>
      </c>
      <c r="E49" s="12"/>
      <c r="F49" s="634"/>
      <c r="I49" s="655" t="s">
        <v>256</v>
      </c>
      <c r="J49" s="623"/>
      <c r="K49" s="656">
        <f>SUM(K42:K48)</f>
        <v>0</v>
      </c>
      <c r="L49" s="1101">
        <f>SUM(L42:L48)</f>
        <v>0</v>
      </c>
      <c r="M49" s="1101">
        <f>SUM(M42:O48)</f>
        <v>0</v>
      </c>
      <c r="N49" s="1101"/>
      <c r="O49" s="1101"/>
      <c r="P49" s="656">
        <f>SUM(P42:P48)</f>
        <v>0</v>
      </c>
      <c r="Q49" s="656">
        <f>SUM(Q42:Q48)</f>
        <v>0</v>
      </c>
      <c r="R49" s="657">
        <f>SUM(R42:R48)</f>
        <v>0</v>
      </c>
      <c r="W49" s="3"/>
      <c r="X49" s="3"/>
    </row>
    <row r="50" spans="1:25" ht="12.75" thickBot="1">
      <c r="A50" s="613"/>
      <c r="B50" s="47" t="s">
        <v>257</v>
      </c>
      <c r="C50" s="47"/>
      <c r="D50" s="906" t="str">
        <f>IF(DevCosts!D19=0,"",(DevCosts!D30+DevCosts!D38+DevCosts!D46+DevCosts!D57)/(SUM(DevCosts!D13:D18)+SUM(DevCosts!D24:D29)+SUM(DevCosts!D32:D37)+SUM(DevCosts!D40:D45)+SUM(DevCosts!D48,DevCosts!D53:D56)))</f>
        <v/>
      </c>
      <c r="E50" s="12"/>
      <c r="L50" s="42"/>
      <c r="W50" s="3">
        <f>IF(OpProforma!J$76&lt;0,Y50,0)</f>
        <v>0</v>
      </c>
      <c r="X50" s="3"/>
      <c r="Y50" s="603">
        <f>Y47+1</f>
        <v>4</v>
      </c>
    </row>
    <row r="51" spans="1:25">
      <c r="A51" s="613"/>
      <c r="B51" s="47" t="s">
        <v>258</v>
      </c>
      <c r="C51" s="47"/>
      <c r="D51" s="907">
        <f>(DevCosts!G19+DevCosts!G31+DevCosts!G39-DevCosts!G30-DevCosts!G38)</f>
        <v>0</v>
      </c>
      <c r="E51" s="12"/>
      <c r="F51" s="605" t="s">
        <v>259</v>
      </c>
      <c r="G51" s="606"/>
      <c r="H51" s="606"/>
      <c r="I51" s="909"/>
      <c r="J51" s="610"/>
      <c r="K51" s="910"/>
      <c r="L51" s="42"/>
      <c r="W51" s="3">
        <f>IF(OpProforma!K$76&lt;0,Y51,0)</f>
        <v>0</v>
      </c>
      <c r="X51" s="3"/>
      <c r="Y51" s="603">
        <f t="shared" si="0"/>
        <v>5</v>
      </c>
    </row>
    <row r="52" spans="1:25" ht="12.75" thickBot="1">
      <c r="A52" s="622"/>
      <c r="B52" s="625" t="s">
        <v>260</v>
      </c>
      <c r="C52" s="625"/>
      <c r="D52" s="925">
        <f>(DevCosts!D19+DevCosts!D31+DevCosts!D39-DevCosts!D30-DevCosts!D38)/Setup!D38</f>
        <v>0</v>
      </c>
      <c r="E52" s="12"/>
      <c r="F52" s="911" t="s">
        <v>261</v>
      </c>
      <c r="G52" s="47"/>
      <c r="H52" s="47"/>
      <c r="I52" s="47"/>
      <c r="J52" s="614"/>
      <c r="K52" s="899" t="str">
        <f ca="1">(IF(DevCosts!D133=0,"",DevCosts!D119/(DevCosts!D132+DevCosts!D127+DevCosts!D113+DevCosts!D108+DevCosts!D103+DevCosts!D97+DevCosts!D80+DevCosts!D58+DevCosts!D47+DevCosts!D39+DevCosts!D31+DevCosts!D19+DevCosts!D12)))</f>
        <v/>
      </c>
      <c r="L52" s="42"/>
      <c r="W52" s="3"/>
      <c r="X52" s="3"/>
    </row>
    <row r="53" spans="1:25" ht="12.75" thickBot="1">
      <c r="A53" s="634"/>
      <c r="B53" s="47"/>
      <c r="C53" s="47"/>
      <c r="D53" s="12"/>
      <c r="E53" s="12"/>
      <c r="F53" s="618" t="s">
        <v>262</v>
      </c>
      <c r="G53" s="47"/>
      <c r="H53" s="47"/>
      <c r="I53" s="47"/>
      <c r="J53" s="614"/>
      <c r="K53" s="966">
        <f>DevCosts!G133</f>
        <v>0</v>
      </c>
      <c r="L53" s="42"/>
      <c r="W53" s="3">
        <f>IF(OpProforma!L$76&lt;0,Y53,0)</f>
        <v>0</v>
      </c>
      <c r="X53" s="3">
        <f>IF(W53&gt;0,Y53,IF(W54&gt;0,Y54,IF(W55&gt;0,Y55,IF(W56&gt;0,W56, IF(W57&gt;0,W57,0)))))</f>
        <v>0</v>
      </c>
      <c r="Y53" s="603">
        <f>Y51+1</f>
        <v>6</v>
      </c>
    </row>
    <row r="54" spans="1:25">
      <c r="A54" s="605" t="s">
        <v>263</v>
      </c>
      <c r="B54" s="606"/>
      <c r="C54" s="606"/>
      <c r="D54" s="908"/>
      <c r="E54" s="12"/>
      <c r="F54" s="618" t="s">
        <v>264</v>
      </c>
      <c r="G54" s="47"/>
      <c r="H54" s="47"/>
      <c r="I54" s="47"/>
      <c r="J54" s="614"/>
      <c r="K54" s="912" t="str">
        <f>IF('Units&amp;Income'!AV94=0,"",Op_Costs!K62)</f>
        <v/>
      </c>
      <c r="L54" s="42"/>
      <c r="W54" s="3">
        <f>IF(OpProforma!M$76&lt;0,Y54,0)</f>
        <v>0</v>
      </c>
      <c r="X54" s="3"/>
      <c r="Y54" s="603">
        <f t="shared" si="0"/>
        <v>7</v>
      </c>
    </row>
    <row r="55" spans="1:25">
      <c r="A55" s="613"/>
      <c r="B55" s="47" t="s">
        <v>265</v>
      </c>
      <c r="C55" s="47"/>
      <c r="D55" s="906" t="str">
        <f>IF(SUM(Sources!$D$5:$D$7)=0,"NA",SUM(Sources!$D$5:$D$7)/(SUM(DevCosts!$I$133:$K$133)+DevCosts!$D$4))</f>
        <v>NA</v>
      </c>
      <c r="E55" s="12"/>
      <c r="F55" s="618" t="s">
        <v>266</v>
      </c>
      <c r="G55" s="47"/>
      <c r="H55" s="47"/>
      <c r="I55" s="47"/>
      <c r="J55" s="614"/>
      <c r="K55" s="913" t="str">
        <f>OpProforma!G78</f>
        <v/>
      </c>
      <c r="L55" s="42"/>
      <c r="W55" s="3">
        <f>IF(OpProforma!N$76&lt;0,Y55,0)</f>
        <v>0</v>
      </c>
      <c r="X55" s="3"/>
      <c r="Y55" s="603">
        <f t="shared" si="0"/>
        <v>8</v>
      </c>
    </row>
    <row r="56" spans="1:25" ht="12.75" thickBot="1">
      <c r="A56" s="622"/>
      <c r="B56" s="625" t="s">
        <v>267</v>
      </c>
      <c r="C56" s="625"/>
      <c r="D56" s="926" t="str">
        <f>IF(SUM(Sources!$D$5:$D$7)=0,"NA",(SUM(Sources!$D$5:$D$7)+Sources!D8)/(SUM(DevCosts!$I$133:$K$133)+DevCosts!$D$4))</f>
        <v>NA</v>
      </c>
      <c r="E56" s="47"/>
      <c r="F56" s="914" t="s">
        <v>268</v>
      </c>
      <c r="G56" s="625"/>
      <c r="H56" s="625"/>
      <c r="I56" s="625"/>
      <c r="J56" s="627"/>
      <c r="K56" s="915" t="str">
        <f>IF(X44&gt;0,X44, IF(X53&gt;0,X53, IF(X58&gt;0,X58, IF(X63&gt;0,X63, IF(X68&gt;0,X68, IF(X73&gt;0,X73, IF(X78&gt;0,X78, IF(X83&gt;0,X83,"Positive All 40 Years"))))))))</f>
        <v>Positive All 40 Years</v>
      </c>
      <c r="L56" s="42"/>
      <c r="W56" s="3">
        <f>IF(OpProforma!O$76&lt;0,Y56,0)</f>
        <v>0</v>
      </c>
      <c r="X56" s="3"/>
      <c r="Y56" s="603">
        <f t="shared" si="0"/>
        <v>9</v>
      </c>
    </row>
    <row r="57" spans="1:25">
      <c r="A57" s="634"/>
      <c r="B57" s="47"/>
      <c r="C57" s="47"/>
      <c r="D57" s="47"/>
      <c r="E57" s="47"/>
      <c r="F57" s="634"/>
      <c r="W57" s="3">
        <f>IF(OpProforma!P$76&lt;0,Y57,0)</f>
        <v>0</v>
      </c>
      <c r="X57" s="3"/>
      <c r="Y57" s="603">
        <f t="shared" si="0"/>
        <v>10</v>
      </c>
    </row>
    <row r="58" spans="1:25" ht="12.75" customHeight="1">
      <c r="D58" s="47"/>
      <c r="E58" s="47"/>
      <c r="W58" s="3">
        <f>IF(OpProforma!Q$76&lt;0,Y58,0)</f>
        <v>0</v>
      </c>
      <c r="X58" s="3">
        <f>IF(W58&gt;0,Y58,IF(W59&gt;0,Y59,IF(W60&gt;0,Y60,IF(W61&gt;0,W61, IF(W62&gt;0,W62,0)))))</f>
        <v>0</v>
      </c>
      <c r="Y58" s="603">
        <f t="shared" si="0"/>
        <v>11</v>
      </c>
    </row>
    <row r="59" spans="1:25">
      <c r="B59" s="47"/>
      <c r="D59" s="898"/>
      <c r="E59" s="43"/>
      <c r="W59" s="3">
        <f>IF(OpProforma!R$76&lt;0,Y59,0)</f>
        <v>0</v>
      </c>
      <c r="X59" s="3"/>
      <c r="Y59" s="603">
        <f t="shared" si="0"/>
        <v>12</v>
      </c>
    </row>
    <row r="60" spans="1:25">
      <c r="D60" s="47"/>
      <c r="E60" s="47"/>
      <c r="W60" s="3">
        <f>IF(OpProforma!S$76&lt;0,Y60,0)</f>
        <v>0</v>
      </c>
      <c r="X60" s="3"/>
      <c r="Y60" s="603">
        <f t="shared" si="0"/>
        <v>13</v>
      </c>
    </row>
    <row r="61" spans="1:25">
      <c r="D61" s="47"/>
      <c r="W61" s="3">
        <f>IF(OpProforma!T$76&lt;0,Y61,0)</f>
        <v>0</v>
      </c>
      <c r="X61" s="3"/>
      <c r="Y61" s="603">
        <f t="shared" si="0"/>
        <v>14</v>
      </c>
    </row>
    <row r="62" spans="1:25">
      <c r="W62" s="3">
        <f>IF(OpProforma!U$76&lt;0,Y62,0)</f>
        <v>0</v>
      </c>
      <c r="X62" s="3"/>
      <c r="Y62" s="603">
        <f t="shared" si="0"/>
        <v>15</v>
      </c>
    </row>
    <row r="63" spans="1:25">
      <c r="W63" s="3">
        <f>IF(OpProforma!V$76&lt;0,Y63,0)</f>
        <v>0</v>
      </c>
      <c r="X63" s="3">
        <f>IF(W63&gt;0,Y63,IF(W64&gt;0,Y64,IF(W65&gt;0,Y65,IF(W66&gt;0,W66, IF(W67&gt;0,W67,0)))))</f>
        <v>0</v>
      </c>
      <c r="Y63" s="603">
        <f t="shared" si="0"/>
        <v>16</v>
      </c>
    </row>
    <row r="64" spans="1:25">
      <c r="W64" s="3">
        <f>IF(OpProforma!W$76&lt;0,Y64,0)</f>
        <v>0</v>
      </c>
      <c r="X64" s="3"/>
      <c r="Y64" s="603">
        <f t="shared" si="0"/>
        <v>17</v>
      </c>
    </row>
    <row r="65" spans="23:25">
      <c r="W65" s="3">
        <f>IF(OpProforma!X$76&lt;0,Y65,0)</f>
        <v>0</v>
      </c>
      <c r="X65" s="3"/>
      <c r="Y65" s="603">
        <f t="shared" si="0"/>
        <v>18</v>
      </c>
    </row>
    <row r="66" spans="23:25">
      <c r="W66" s="3">
        <f>IF(OpProforma!Y$76&lt;0,Y66,0)</f>
        <v>0</v>
      </c>
      <c r="X66" s="3"/>
      <c r="Y66" s="603">
        <f t="shared" si="0"/>
        <v>19</v>
      </c>
    </row>
    <row r="67" spans="23:25">
      <c r="W67" s="3">
        <f>IF(OpProforma!Z$76&lt;0,Y67,0)</f>
        <v>0</v>
      </c>
      <c r="X67" s="3"/>
      <c r="Y67" s="603">
        <f t="shared" si="0"/>
        <v>20</v>
      </c>
    </row>
    <row r="68" spans="23:25">
      <c r="W68" s="3">
        <f>IF(OpProforma!AA$76&lt;0,Y68,0)</f>
        <v>0</v>
      </c>
      <c r="X68" s="3">
        <f>IF(W68&gt;0,Y68,IF(W69&gt;0,Y69,IF(W70&gt;0,Y70,IF(W71&gt;0,W71, IF(W72&gt;0,W72,0)))))</f>
        <v>0</v>
      </c>
      <c r="Y68" s="603">
        <f t="shared" si="0"/>
        <v>21</v>
      </c>
    </row>
    <row r="69" spans="23:25">
      <c r="W69" s="3">
        <f>IF(OpProforma!AB$76&lt;0,Y69,0)</f>
        <v>0</v>
      </c>
      <c r="X69" s="3"/>
      <c r="Y69" s="603">
        <f t="shared" si="0"/>
        <v>22</v>
      </c>
    </row>
    <row r="70" spans="23:25">
      <c r="W70" s="3">
        <f>IF(OpProforma!AC$76&lt;0,Y70,0)</f>
        <v>0</v>
      </c>
      <c r="X70" s="3"/>
      <c r="Y70" s="603">
        <f t="shared" si="0"/>
        <v>23</v>
      </c>
    </row>
    <row r="71" spans="23:25">
      <c r="W71" s="3">
        <f>IF(OpProforma!AD$76&lt;0,Y71,0)</f>
        <v>0</v>
      </c>
      <c r="X71" s="3"/>
      <c r="Y71" s="603">
        <f t="shared" si="0"/>
        <v>24</v>
      </c>
    </row>
    <row r="72" spans="23:25">
      <c r="W72" s="3">
        <f>IF(OpProforma!AE$76&lt;0,Y72,0)</f>
        <v>0</v>
      </c>
      <c r="X72" s="3"/>
      <c r="Y72" s="603">
        <f t="shared" si="0"/>
        <v>25</v>
      </c>
    </row>
    <row r="73" spans="23:25">
      <c r="W73" s="3">
        <f>IF(OpProforma!AH$76&lt;0,Y73,0)</f>
        <v>0</v>
      </c>
      <c r="X73" s="3">
        <f>IF(W73&gt;0,Y73,IF(W74&gt;0,Y74,IF(W75&gt;0,Y75,IF(W76&gt;0,W76, IF(W77&gt;0,W77,0)))))</f>
        <v>0</v>
      </c>
      <c r="Y73" s="603">
        <f t="shared" si="0"/>
        <v>26</v>
      </c>
    </row>
    <row r="74" spans="23:25">
      <c r="W74" s="3">
        <f>IF(OpProforma!AI$76&lt;0,Y74,0)</f>
        <v>0</v>
      </c>
      <c r="X74" s="3"/>
      <c r="Y74" s="603">
        <f t="shared" si="0"/>
        <v>27</v>
      </c>
    </row>
    <row r="75" spans="23:25">
      <c r="W75" s="3">
        <f>IF(OpProforma!AJ$76&lt;0,Y75,0)</f>
        <v>0</v>
      </c>
      <c r="X75" s="3"/>
      <c r="Y75" s="603">
        <f t="shared" si="0"/>
        <v>28</v>
      </c>
    </row>
    <row r="76" spans="23:25">
      <c r="W76" s="3">
        <f>IF(OpProforma!AK$76&lt;0,Y76,0)</f>
        <v>0</v>
      </c>
      <c r="X76" s="3"/>
      <c r="Y76" s="603">
        <f t="shared" si="0"/>
        <v>29</v>
      </c>
    </row>
    <row r="77" spans="23:25">
      <c r="W77" s="3">
        <f>IF(OpProforma!AL$76&lt;0,Y77,0)</f>
        <v>0</v>
      </c>
      <c r="X77" s="3"/>
      <c r="Y77" s="603">
        <f t="shared" si="0"/>
        <v>30</v>
      </c>
    </row>
    <row r="78" spans="23:25">
      <c r="W78" s="3">
        <f>IF(OpProforma!AM$76&lt;0,Y78,0)</f>
        <v>0</v>
      </c>
      <c r="X78" s="3">
        <f>IF(W78&gt;0,Y78,IF(W79&gt;0,Y79,IF(W80&gt;0,Y80,IF(W81&gt;0,W81, IF(W82&gt;0,W82,0)))))</f>
        <v>0</v>
      </c>
      <c r="Y78" s="603">
        <f t="shared" si="0"/>
        <v>31</v>
      </c>
    </row>
    <row r="79" spans="23:25">
      <c r="W79" s="3">
        <f>IF(OpProforma!AN$76&lt;0,Y79,0)</f>
        <v>0</v>
      </c>
      <c r="X79" s="3"/>
      <c r="Y79" s="603">
        <f t="shared" si="0"/>
        <v>32</v>
      </c>
    </row>
    <row r="80" spans="23:25">
      <c r="W80" s="3">
        <f>IF(OpProforma!AO$76&lt;0,Y80,0)</f>
        <v>0</v>
      </c>
      <c r="X80" s="3"/>
      <c r="Y80" s="603">
        <f t="shared" si="0"/>
        <v>33</v>
      </c>
    </row>
    <row r="81" spans="23:25">
      <c r="W81" s="3">
        <f>IF(OpProforma!AP$76&lt;0,Y81,0)</f>
        <v>0</v>
      </c>
      <c r="X81" s="3"/>
      <c r="Y81" s="603">
        <f t="shared" si="0"/>
        <v>34</v>
      </c>
    </row>
    <row r="82" spans="23:25">
      <c r="W82" s="3">
        <f>IF(OpProforma!AQ$76&lt;0,Y82,0)</f>
        <v>0</v>
      </c>
      <c r="X82" s="3"/>
      <c r="Y82" s="603">
        <f t="shared" si="0"/>
        <v>35</v>
      </c>
    </row>
    <row r="83" spans="23:25">
      <c r="W83" s="3">
        <f>IF(OpProforma!AR$76&lt;0,Y83,0)</f>
        <v>0</v>
      </c>
      <c r="X83" s="3">
        <f>IF(W83&gt;0,Y83,IF(W84&gt;0,Y84,IF(W85&gt;0,Y85,IF(W86&gt;0,W86, IF(W87&gt;0,W87,0)))))</f>
        <v>0</v>
      </c>
      <c r="Y83" s="603">
        <f t="shared" si="0"/>
        <v>36</v>
      </c>
    </row>
    <row r="84" spans="23:25">
      <c r="W84" s="3">
        <f>IF(OpProforma!AS$76&lt;0,Y84,0)</f>
        <v>0</v>
      </c>
      <c r="X84" s="3"/>
      <c r="Y84" s="603">
        <f t="shared" si="0"/>
        <v>37</v>
      </c>
    </row>
    <row r="85" spans="23:25">
      <c r="W85" s="3">
        <f>IF(OpProforma!AT$76&lt;0,Y85,0)</f>
        <v>0</v>
      </c>
      <c r="X85" s="3"/>
      <c r="Y85" s="603">
        <f t="shared" si="0"/>
        <v>38</v>
      </c>
    </row>
    <row r="86" spans="23:25">
      <c r="W86" s="3">
        <f>IF(OpProforma!AU$76&lt;0,Y86,0)</f>
        <v>0</v>
      </c>
      <c r="X86" s="3"/>
      <c r="Y86" s="603">
        <f t="shared" si="0"/>
        <v>39</v>
      </c>
    </row>
    <row r="87" spans="23:25">
      <c r="W87" s="3">
        <f>IF(OpProforma!AV$76&lt;0,Y87,0)</f>
        <v>0</v>
      </c>
      <c r="X87" s="3"/>
      <c r="Y87" s="603">
        <f t="shared" si="0"/>
        <v>40</v>
      </c>
    </row>
  </sheetData>
  <sheetProtection algorithmName="SHA-512" hashValue="mR1zRYqlTkBj21fggk3vkQmWiVncC/ogK4VAJImOLf6RFE16QdpqiMHmJ5sTaGmKPeQGdCNyAFKRkZ2rcRdBkQ==" saltValue="Vx8e7Gh0vlC5G01tevZe4g==" spinCount="100000" sheet="1" objects="1" scenarios="1"/>
  <mergeCells count="16">
    <mergeCell ref="M48:O48"/>
    <mergeCell ref="O30:Q30"/>
    <mergeCell ref="M47:O47"/>
    <mergeCell ref="M43:O43"/>
    <mergeCell ref="M42:O42"/>
    <mergeCell ref="M44:O44"/>
    <mergeCell ref="M45:O45"/>
    <mergeCell ref="M46:O46"/>
    <mergeCell ref="A2:D2"/>
    <mergeCell ref="G34:J34"/>
    <mergeCell ref="M41:O41"/>
    <mergeCell ref="F35:L35"/>
    <mergeCell ref="K5:L6"/>
    <mergeCell ref="K9:L9"/>
    <mergeCell ref="K12:L12"/>
    <mergeCell ref="K20:L21"/>
  </mergeCells>
  <phoneticPr fontId="53" type="noConversion"/>
  <dataValidations xWindow="57" yWindow="148" count="113">
    <dataValidation errorStyle="warning" allowBlank="1" showInputMessage="1" errorTitle="Invalid Date" error="Both days and months must have 2 digits to be valid. Also, you must include a / mark after the month and days." promptTitle="100% Occupancy Date" prompt="This year is calculated on the Lease-Up Schedule and can be modified there. It is the year when all residential units are occupied." sqref="R32" xr:uid="{00000000-0002-0000-0200-000000000000}"/>
    <dataValidation allowBlank="1" showInputMessage="1" showErrorMessage="1" promptTitle="Year 1 of Operations" prompt="This is the first full year after lease-up/ refinancing has been completed. This date cannot be modified. It will appear as the first year in the Operating Proforma." sqref="R33" xr:uid="{00000000-0002-0000-0200-000001000000}"/>
    <dataValidation allowBlank="1" showInputMessage="1" showErrorMessage="1" promptTitle="Operating Cost Escalation Rate" prompt="This will be the defaulted increase rate for all operating costs._x000a_It is possible to alter the rates for individual line items on the Op_Costs worksheet." sqref="R34" xr:uid="{00000000-0002-0000-0200-000002000000}"/>
    <dataValidation allowBlank="1" showInputMessage="1" showErrorMessage="1" promptTitle="Debt Service Coverage Ratio" prompt="This is the DSCR the first year of operations." sqref="K55" xr:uid="{00000000-0002-0000-0200-000003000000}"/>
    <dataValidation allowBlank="1" showInputMessage="1" showErrorMessage="1" promptTitle="Per Unit Total Dev. Cost" prompt="This is the total development costs / the total number of residential units, including any resident manager units." sqref="K53" xr:uid="{00000000-0002-0000-0200-000004000000}"/>
    <dataValidation allowBlank="1" showInputMessage="1" showErrorMessage="1" promptTitle="Developer Fee %" prompt="This is the Total Developer Fee divided by all other development costs." sqref="K52" xr:uid="{00000000-0002-0000-0200-000005000000}"/>
    <dataValidation allowBlank="1" showInputMessage="1" showErrorMessage="1" promptTitle="1st Negative Year" prompt="This is the first year that the cash flow goes negative in the Operating Proforma spreadsheet." sqref="K56" xr:uid="{00000000-0002-0000-0200-000006000000}"/>
    <dataValidation allowBlank="1" showInputMessage="1" showErrorMessage="1" promptTitle="Year 1 Op Cost Per Unit" prompt="This is the annual cost of all operating costs / by the total number of residential units." sqref="K54" xr:uid="{00000000-0002-0000-0200-000007000000}"/>
    <dataValidation allowBlank="1" showInputMessage="1" showErrorMessage="1" promptTitle="Overhead Percentage" prompt="This is the percentage of Contractor Overhead of the main net construction items entered on development costs (cells D13 - D15)." sqref="D46" xr:uid="{00000000-0002-0000-0200-000008000000}"/>
    <dataValidation allowBlank="1" showInputMessage="1" showErrorMessage="1" promptTitle="Construction Profit" prompt="This is the percentage of Contractor Profit of the main net construction items entered on development costs (cells D13 - D15)." sqref="D47" xr:uid="{00000000-0002-0000-0200-000009000000}"/>
    <dataValidation allowBlank="1" showInputMessage="1" showErrorMessage="1" promptTitle="Bonds + Equity Bridge Loan " prompt="This equals the sum of the (3 Tax Exempt Bond construction loan amounts + Equtiy Bridge Loan) / (Total Depreciable Basis + Acquisition Land Costs). This should be at least 50% to qualify for automatic credits for the entire project." sqref="D56" xr:uid="{00000000-0002-0000-0200-00000A000000}"/>
    <dataValidation allowBlank="1" showInputMessage="1" showErrorMessage="1" promptTitle="TE Bonds" prompt="This equals the sum of the 3 Tax Exempt Bond construction loan amounts / (Total Depreciable Basis + Acquisition Land Costs). This should be at least 50% to qualify for automatic credits for the entire project." sqref="D55" xr:uid="{00000000-0002-0000-0200-00000B000000}"/>
    <dataValidation allowBlank="1" showInputMessage="1" showErrorMessage="1" promptTitle="Per GSF Construction Cost" prompt="This is the Total Residential Construction (Construction + Other Construction + Infrastructure Costs) less Contingency divided by the Gross Building Sq Ft (cell D38)." sqref="D52" xr:uid="{00000000-0002-0000-0200-00000C000000}"/>
    <dataValidation allowBlank="1" showInputMessage="1" showErrorMessage="1" promptTitle="Per Unit Construction" prompt="This is the sum of Construction Costs + Infrastructure Costs excluding contingency per unit. This value does not include Commercial or Environmental costs." sqref="D51" xr:uid="{00000000-0002-0000-0200-00000D000000}"/>
    <dataValidation allowBlank="1" showInputMessage="1" showErrorMessage="1" promptTitle="Contingency" prompt="This equals the contingency amounts / sum of Net Construction Costs for the various sections (Construction + Infrastructure + Environmental + Commercial Construction). This can be overwritten." sqref="D50" xr:uid="{00000000-0002-0000-0200-00000E000000}"/>
    <dataValidation allowBlank="1" showInputMessage="1" showErrorMessage="1" promptTitle="Total Tenant Paid Utilities" prompt="These values will be added to the tenant paid rent to determine the total monthly tenant housing expense." sqref="P49:R49 K49:M49" xr:uid="{00000000-0002-0000-0200-00000F000000}"/>
    <dataValidation allowBlank="1" showInputMessage="1" showErrorMessage="1" promptTitle="Tenant Paid Utilities" prompt="Enter the estimated tenant paid utility values for the project. All values entered here will be combined with the Tenant Rent to compare against the Maximum Rents that can be charged." sqref="P42:R48 K42:M48" xr:uid="{00000000-0002-0000-0200-000010000000}"/>
    <dataValidation allowBlank="1" showInputMessage="1" showErrorMessage="1" promptTitle="Other Tenant Paid Utilities" prompt="Enter any other types of utilities that will be tenant paid and must be included as part of the tenant's total rent contribution." sqref="J46:J48" xr:uid="{00000000-0002-0000-0200-000011000000}"/>
    <dataValidation type="date" errorStyle="warning" allowBlank="1" showInputMessage="1" showErrorMessage="1" errorTitle="Invalid Date" error="Both days and months must have 2 digits to be valid. Also, you must include a / mark after the month and days." promptTitle="Construction Completion Date" prompt="This date is automatically calculated as the Construction Loan Closing Date + the number of months selected in R25." sqref="R28" xr:uid="{00000000-0002-0000-0200-000012000000}">
      <formula1>32874</formula1>
      <formula2>47848</formula2>
    </dataValidation>
    <dataValidation type="date" errorStyle="warning" allowBlank="1" showInputMessage="1" showErrorMessage="1" errorTitle="Invalid Date" error="Both days and months must have 2 digits to be valid. Also, you must include a / mark after the month and days." promptTitle="Lease-Up Begins" prompt="This is the date when leasing will begin for the project._x000a_Enter a date in the following format: 01/08/03" sqref="R29" xr:uid="{00000000-0002-0000-0200-000013000000}">
      <formula1>32874</formula1>
      <formula2>47848</formula2>
    </dataValidation>
    <dataValidation allowBlank="1" showInputMessage="1" showErrorMessage="1" promptTitle="# Units Leased Per Month" prompt="Enter the anticipated number of units anticipated to be leased each month, beginning with the Lease-Up Begins date. " sqref="R30" xr:uid="{00000000-0002-0000-0200-000014000000}"/>
    <dataValidation type="list" allowBlank="1" showInputMessage="1" showErrorMessage="1" sqref="T6 Q15" xr:uid="{00000000-0002-0000-0200-000015000000}">
      <formula1>UnitNumber</formula1>
    </dataValidation>
    <dataValidation type="list" allowBlank="1" showInputMessage="1" showErrorMessage="1" sqref="M15 M12 M23 M19" xr:uid="{00000000-0002-0000-0200-000016000000}">
      <formula1>YesNo</formula1>
    </dataValidation>
    <dataValidation type="whole" errorStyle="warning" allowBlank="1" showInputMessage="1" showErrorMessage="1" errorTitle="Enter between 1 and 50" error="Enter the number of Building Identification Numbers that is required for this project. Most projects will have a value of 1. The value must be between 1 and 50. " promptTitle="Building Identification Numbers" prompt="Enter the number of BINs that will be required for this project._x000a_Each BIN will require a separate tax credit allocation._x000a_Separate BINs are required for scattered site projects that are not placed in service at once or which have non-LIHTC units." sqref="D35" xr:uid="{00000000-0002-0000-0200-000017000000}">
      <formula1>1</formula1>
      <formula2>50</formula2>
    </dataValidation>
    <dataValidation type="whole" allowBlank="1" showInputMessage="1" promptTitle="Enter the Number of Buildings" prompt="Enter the number of buildings included in the Project._x000a_Each building may or may not have a BIN." sqref="D34" xr:uid="{00000000-0002-0000-0200-000018000000}">
      <formula1>1</formula1>
      <formula2>200</formula2>
    </dataValidation>
    <dataValidation allowBlank="1" showInputMessage="1" promptTitle="Alderman Selection" prompt="Select the Ward, above._x000a_The Alderman representing the selected ward will automatically appear." sqref="F9:G9" xr:uid="{00000000-0002-0000-0200-000019000000}"/>
    <dataValidation type="list" errorStyle="information" allowBlank="1" showInputMessage="1" showErrorMessage="1" errorTitle="Select from the list" error="Select an item from the list._x000a_No new items may be added." promptTitle="Ward #" prompt="Select the Ward # from the list._x000a_The Alderman will be automatically selected." sqref="D12" xr:uid="{00000000-0002-0000-0200-00001A000000}">
      <formula1>Wards</formula1>
    </dataValidation>
    <dataValidation type="list" allowBlank="1" showInputMessage="1" showErrorMessage="1" promptTitle="Version #" prompt="Enter a number between 0 and 10." sqref="D5" xr:uid="{00000000-0002-0000-0200-00001B000000}">
      <formula1>Version</formula1>
    </dataValidation>
    <dataValidation allowBlank="1" showInputMessage="1" promptTitle="Phone Number" prompt="Enter a 10 digit phone number._x000a_It will be automatically formatted." sqref="D27 F18 D23" xr:uid="{00000000-0002-0000-0200-00001C000000}"/>
    <dataValidation type="list" allowBlank="1" sqref="E43 M7" xr:uid="{00000000-0002-0000-0200-00001D000000}">
      <formula1>BuildingTypes</formula1>
    </dataValidation>
    <dataValidation type="list" allowBlank="1" showInputMessage="1" showErrorMessage="1" promptTitle="FHLB Agency" prompt="Select which FHLB district the project has applied to." sqref="L32" xr:uid="{00000000-0002-0000-0200-00001E000000}">
      <formula1>FHLB</formula1>
    </dataValidation>
    <dataValidation type="list" allowBlank="1" showInputMessage="1" showErrorMessage="1" promptTitle="Gov't Agency" prompt="Select either DOH, IHDA or Both from the list." sqref="L30:L31" xr:uid="{00000000-0002-0000-0200-00001F000000}">
      <formula1>Issuers</formula1>
    </dataValidation>
    <dataValidation type="list" errorStyle="information" allowBlank="1" showInputMessage="1" showErrorMessage="1" errorTitle="Select from the List" error="Select an option from the list._x000a_No new options may be added." promptTitle="When will rate be locked" prompt="Select when the LIHTC rate will be locked from the drop down list._x000a_" sqref="K12:L12" xr:uid="{00000000-0002-0000-0200-000020000000}">
      <formula1>RateLock</formula1>
    </dataValidation>
    <dataValidation type="list" errorStyle="information" allowBlank="1" showInputMessage="1" showErrorMessage="1" errorTitle="Select from the list." error="Select an option from the list._x000a_No new options may be added." promptTitle="Rate Locked" prompt="Has the LIHTC rate been locked? Select from the drop down list." sqref="K15" xr:uid="{00000000-0002-0000-0200-000021000000}">
      <formula1>YesNo</formula1>
    </dataValidation>
    <dataValidation type="list" allowBlank="1" showInputMessage="1" promptTitle="Reservation Date - Month" prompt="Select the anticipated or actual month when the rate will be locked." sqref="K13" xr:uid="{00000000-0002-0000-0200-000022000000}">
      <formula1>Months</formula1>
    </dataValidation>
    <dataValidation type="list" allowBlank="1" showInputMessage="1" promptTitle="Reservation Date -- Year" prompt="Select the anticipated / actual year when the Tax Credit rate is locked." sqref="L13" xr:uid="{00000000-0002-0000-0200-000023000000}">
      <formula1>Years</formula1>
    </dataValidation>
    <dataValidation allowBlank="1" showInputMessage="1" showErrorMessage="1" promptTitle="Project Name" prompt="Enter the name of the project here._x000a_The project name is referenced on every page and report." sqref="D7" xr:uid="{00000000-0002-0000-0200-000024000000}"/>
    <dataValidation allowBlank="1" showInputMessage="1" showErrorMessage="1" promptTitle="Street Address" prompt="Enter the street location here." sqref="D8" xr:uid="{00000000-0002-0000-0200-000025000000}"/>
    <dataValidation type="list" errorStyle="information" allowBlank="1" showInputMessage="1" showErrorMessage="1" errorTitle="Invalid Entry" error="Select a Community Area from the list._x000a_No new community areas may be added." promptTitle="Community Area" prompt="Select the Community Area from the Drop Down list." sqref="D14" xr:uid="{00000000-0002-0000-0200-000026000000}">
      <formula1>CommAreas</formula1>
    </dataValidation>
    <dataValidation allowBlank="1" showInputMessage="1" showErrorMessage="1" promptTitle="DOH Contact #1" prompt="This person will appear as the Primary DOH contact on reports." sqref="D16" xr:uid="{00000000-0002-0000-0200-000027000000}"/>
    <dataValidation allowBlank="1" showInputMessage="1" showErrorMessage="1" promptTitle="Developer Name" prompt="This is the company name of the developer." sqref="D17" xr:uid="{00000000-0002-0000-0200-000028000000}"/>
    <dataValidation allowBlank="1" showInputMessage="1" showErrorMessage="1" promptTitle="Contact Person" prompt="Enter the first and last name of your main contact person at the Developer's office." sqref="D25" xr:uid="{00000000-0002-0000-0200-000029000000}"/>
    <dataValidation allowBlank="1" showInputMessage="1" showErrorMessage="1" promptTitle="Architect Name" prompt="Enter the company name of the project architect." sqref="D28" xr:uid="{00000000-0002-0000-0200-00002A000000}"/>
    <dataValidation allowBlank="1" showInputMessage="1" showErrorMessage="1" promptTitle="Gen. Contractor Name" prompt="Enter the company name of the project general contractor." sqref="D29" xr:uid="{00000000-0002-0000-0200-00002B000000}"/>
    <dataValidation allowBlank="1" showInputMessage="1" showErrorMessage="1" promptTitle="Tax Attorney" prompt="Enter the company name of the project's tax attorney." sqref="D30" xr:uid="{00000000-0002-0000-0200-00002C000000}"/>
    <dataValidation allowBlank="1" showInputMessage="1" showErrorMessage="1" promptTitle="Tax Accountant" prompt="Enter the company name of the project's tax accountant." sqref="D31" xr:uid="{00000000-0002-0000-0200-00002D000000}"/>
    <dataValidation allowBlank="1" showInputMessage="1" showErrorMessage="1" promptTitle="% of Costs Ineligible:" prompt="If a portion of the building is commercial or other non-LIHTC eligible use, enter the portion of the total costs to be deducted from LIHTC eligible basis. _x000a_NOTE -- do NOT include residential units &gt; 60% AMI." sqref="L3" xr:uid="{00000000-0002-0000-0200-00002E000000}"/>
    <dataValidation type="list" allowBlank="1" showInputMessage="1" showErrorMessage="1" promptTitle="Acquisition LIHTC Credits" prompt="Does the project qualify for the Acquisition Credit?_x000a_Select Yes or No from the drop down list." sqref="L4" xr:uid="{00000000-0002-0000-0200-00002F000000}">
      <formula1>YesNo</formula1>
    </dataValidation>
    <dataValidation type="list" errorStyle="information" allowBlank="1" showInputMessage="1" showErrorMessage="1" errorTitle="Select from List" error="Select an item from the list._x000a_No additional items may be added." promptTitle="How Qualified" prompt="Select from the drop down list how the project is qualified for the Acquisition Credit." sqref="K5" xr:uid="{00000000-0002-0000-0200-000030000000}">
      <formula1>AcqReasons</formula1>
    </dataValidation>
    <dataValidation allowBlank="1" showInputMessage="1" showErrorMessage="1" promptTitle="Tax Credit Rate" prompt="Enter the &quot;4%&quot; Credit Rate that is estimated for the acquisition credit allocation." sqref="L7" xr:uid="{00000000-0002-0000-0200-000031000000}"/>
    <dataValidation type="whole" allowBlank="1" showInputMessage="1" showErrorMessage="1" promptTitle="Print Options" prompt="Enter a 1 to INCLUDE this page in the print-out._x000a_Enter a 0 to EXCLUDE this print option." sqref="E2:E7" xr:uid="{00000000-0002-0000-0200-000032000000}">
      <formula1>0</formula1>
      <formula2>1</formula2>
    </dataValidation>
    <dataValidation type="list" allowBlank="1" showInputMessage="1" showErrorMessage="1" promptTitle="Other Income" prompt="Enter the number of types of other income (up to 11) that you want to appear in the Unit &amp; Income tab." sqref="R10" xr:uid="{00000000-0002-0000-0200-000033000000}">
      <formula1>OtherIncome</formula1>
    </dataValidation>
    <dataValidation errorStyle="warning" allowBlank="1" showInputMessage="1" errorTitle="Enter between 1 and 50" error="Enter the number of Building Identification Numbers that is required for this project. The value must be between 1 and 50." promptTitle="Census Tract Numbers" prompt="Enter the census tracts for all project parcels._x000a_" sqref="D36" xr:uid="{00000000-0002-0000-0200-000034000000}"/>
    <dataValidation type="whole" allowBlank="1" showInputMessage="1" showErrorMessage="1" errorTitle="Invalid Number" error="Enter a number between 1 and 1,000,000." promptTitle="Gross Building Square Feet" prompt="Enter the gross square feet for all buildings in the project." sqref="D38" xr:uid="{00000000-0002-0000-0200-000035000000}">
      <formula1>1</formula1>
      <formula2>1000000</formula2>
    </dataValidation>
    <dataValidation type="whole" allowBlank="1" showInputMessage="1" showErrorMessage="1" errorTitle="Invalid Number" error="Enter a number between 1 and 1,000,000." promptTitle="Net Square Feet" prompt="Enter the net square footage of all buildings in the project combined." sqref="D39" xr:uid="{00000000-0002-0000-0200-000036000000}">
      <formula1>1</formula1>
      <formula2>1000000</formula2>
    </dataValidation>
    <dataValidation type="list" allowBlank="1" showInputMessage="1" showErrorMessage="1" promptTitle="Rehab/ New Construction LIHTC " prompt="Does the project qualify for the LIHTC?_x000a_If so, select Yes from the drop down list." sqref="L8" xr:uid="{00000000-0002-0000-0200-000037000000}">
      <formula1>YesNo</formula1>
    </dataValidation>
    <dataValidation type="list" errorStyle="information" allowBlank="1" showInputMessage="1" showErrorMessage="1" errorTitle="Select from the List" error="Select an item from the list._x000a_No new items may be added." promptTitle="Type of Rehab Credit" prompt="What type of credit will the project qualify for? _x000a_Select from the drop down list." sqref="K9:L9" xr:uid="{00000000-0002-0000-0200-000038000000}">
      <formula1>RehabTypes</formula1>
    </dataValidation>
    <dataValidation type="list" allowBlank="1" showInputMessage="1" showErrorMessage="1" promptTitle="130% Boost" prompt="Does the project BOTH qualify for the boost and is planning to take it in calculating the LIHTC credit amount?" sqref="L10" xr:uid="{00000000-0002-0000-0200-000039000000}">
      <formula1>YesNo</formula1>
    </dataValidation>
    <dataValidation allowBlank="1" showInputMessage="1" showErrorMessage="1" promptTitle="Tax Credit Rate" prompt="Enter the &quot;4%&quot; or &quot;9&quot; Credit Rate that is estimated for the rehab credit allocation." sqref="L11" xr:uid="{00000000-0002-0000-0200-00003A000000}"/>
    <dataValidation type="list" errorStyle="information" allowBlank="1" showInputMessage="1" showErrorMessage="1" errorTitle="Select from the list." error="Select an option from the list._x000a_No new options may be added." promptTitle="Committed?" prompt="Have the LIHTCs been committed? Select Yes or No from the drop down list." sqref="K14" xr:uid="{00000000-0002-0000-0200-00003B000000}">
      <formula1>YesNo</formula1>
    </dataValidation>
    <dataValidation allowBlank="1" showInputMessage="1" showErrorMessage="1" promptTitle="Credit Raise" prompt="The amount of equity earned from the sale of credits is calculated as the Price per Credit * the total number of credits. It is recommended that you NOT overwrite this calculation." sqref="L24 L17" xr:uid="{00000000-0002-0000-0200-00003C000000}"/>
    <dataValidation allowBlank="1" showInputMessage="1" showErrorMessage="1" promptTitle="Price Per Credit" prompt="Enter the estimated amount of equity to be raised per credit. This value will be used to calculated the Credit Raise." sqref="L16" xr:uid="{00000000-0002-0000-0200-00003D000000}"/>
    <dataValidation allowBlank="1" showInputMessage="1" showErrorMessage="1" promptTitle="Historic Credit Raise" prompt="Enter the estimated amount of equity to be raised per credit. This value will be used to calculated the Credit Raise." sqref="L23" xr:uid="{00000000-0002-0000-0200-00003E000000}"/>
    <dataValidation type="list" allowBlank="1" showInputMessage="1" showErrorMessage="1" promptTitle="How Qualified" prompt="Select why the project is qualified to receive historic tax credits._x000a_Choose any selection from the drop down list." sqref="K20:L21" xr:uid="{00000000-0002-0000-0200-00003F000000}">
      <formula1>HistoricCreditReasons</formula1>
    </dataValidation>
    <dataValidation allowBlank="1" showInputMessage="1" showErrorMessage="1" promptTitle="% of Costs Ineligible:" prompt="If a portion of the building is new construction or other non-historic eligible use, enter the portion of the total costs to be deducted from historic eligible basis. " sqref="L19" xr:uid="{00000000-0002-0000-0200-000040000000}"/>
    <dataValidation allowBlank="1" showInputMessage="1" showErrorMessage="1" promptTitle="Total Tax Credit Equity" prompt="This value = the LIHTC Credit Raise + Historic Credit Raise." sqref="L25" xr:uid="{00000000-0002-0000-0200-000041000000}"/>
    <dataValidation type="list" allowBlank="1" showInputMessage="1" showErrorMessage="1" promptTitle="Historic Tax Credits?" prompt="Does the project qualify for Historic Tax Credits?_x000a_Select Yes or No from the drop down list." sqref="L18" xr:uid="{00000000-0002-0000-0200-000042000000}">
      <formula1>YesNo</formula1>
    </dataValidation>
    <dataValidation type="date" errorStyle="warning" allowBlank="1" showInputMessage="1" showErrorMessage="1" errorTitle="Invalid Date" error="Both days and months must have 2 digits to be valid. Also, you must include a / mark after the month and days." promptTitle="Construction Loan Closing" prompt="This is the date that the project will initially close with all of its financing._x000a_Enter a date in the following format: 01/08/03" sqref="R26" xr:uid="{00000000-0002-0000-0200-000043000000}">
      <formula1>32874</formula1>
      <formula2>47848</formula2>
    </dataValidation>
    <dataValidation type="list" allowBlank="1" showInputMessage="1" showErrorMessage="1" promptTitle="Commercial Unit Types" prompt="Enter the number of commercial tenants/ spaces (up to 11) that you want to appear in the Unit &amp; Income tab." sqref="R9" xr:uid="{00000000-0002-0000-0200-000044000000}">
      <formula1>OtherIncome</formula1>
    </dataValidation>
    <dataValidation allowBlank="1" showInputMessage="1" showErrorMessage="1" promptTitle="City" prompt="Chicago is the only option." sqref="D9" xr:uid="{00000000-0002-0000-0200-000045000000}"/>
    <dataValidation allowBlank="1" showInputMessage="1" showErrorMessage="1" promptTitle="State" prompt="Illinois is the only option." sqref="D10" xr:uid="{00000000-0002-0000-0200-000046000000}"/>
    <dataValidation allowBlank="1" showInputMessage="1" showErrorMessage="1" promptTitle="Zip Code" prompt="Enter a 5 digit zip code." sqref="D11" xr:uid="{00000000-0002-0000-0200-000047000000}"/>
    <dataValidation type="whole" allowBlank="1" showInputMessage="1" showErrorMessage="1" errorTitle="Invalid Number" error="Enter a number between 1 and 1,000,000." promptTitle="Site Area" prompt="Enter the land area of the project." sqref="D37" xr:uid="{00000000-0002-0000-0200-000048000000}">
      <formula1>1</formula1>
      <formula2>1000000</formula2>
    </dataValidation>
    <dataValidation type="list" allowBlank="1" showInputMessage="1" promptTitle="Building Type(s)" prompt="Select the type(s) of buildings included in the project from the drop down list." sqref="D41" xr:uid="{00000000-0002-0000-0200-000049000000}">
      <formula1>BuildingTypes</formula1>
    </dataValidation>
    <dataValidation type="list" allowBlank="1" showInputMessage="1" showErrorMessage="1" promptTitle="Rehab or New Construction" prompt="Does the property involve rehabilitation, new construction, or both? Select the appropriate option from the drop down list." sqref="D42" xr:uid="{00000000-0002-0000-0200-00004A000000}">
      <formula1>Type</formula1>
    </dataValidation>
    <dataValidation allowBlank="1" showInputMessage="1" showErrorMessage="1" promptTitle="Historic Tax Credit Rate" prompt="The Historic Credit Rate is 20% for all qualified residential buildings." sqref="L22" xr:uid="{00000000-0002-0000-0200-00004B000000}"/>
    <dataValidation allowBlank="1" showInputMessage="1" showErrorMessage="1" promptTitle="Residential Vacancy" prompt="This vacancy rate will be applied to all residential units." sqref="R11" xr:uid="{00000000-0002-0000-0200-00004C000000}"/>
    <dataValidation type="decimal" allowBlank="1" showInputMessage="1" showErrorMessage="1" errorTitle="Invalid Number" error="Enter a number between 1 and 100." promptTitle="Residential Escalation Rate" prompt="This escalation rate will be applied to all residential income beginning in Year 2 of operations." sqref="R12" xr:uid="{00000000-0002-0000-0200-00004D000000}">
      <formula1>0</formula1>
      <formula2>1</formula2>
    </dataValidation>
    <dataValidation type="decimal" allowBlank="1" showInputMessage="1" showErrorMessage="1" errorTitle="Invalid Number" error="Enter a number between 1 and 100." promptTitle="Commercial Escalation Rate" prompt="This escalation rate will be applied to all commercial income beginning in Year 2 of operations." sqref="R13" xr:uid="{00000000-0002-0000-0200-00004E000000}">
      <formula1>0</formula1>
      <formula2>1</formula2>
    </dataValidation>
    <dataValidation type="decimal" allowBlank="1" showInputMessage="1" showErrorMessage="1" errorTitle="Invalid Number" error="Enter a number between 1 and 100." promptTitle="Other Income Escalation Rate" prompt="This escalation rate will be applied to all types of other income beginning in Year 2 of operations." sqref="R14" xr:uid="{00000000-0002-0000-0200-00004F000000}">
      <formula1>0</formula1>
      <formula2>1</formula2>
    </dataValidation>
    <dataValidation type="list" allowBlank="1" showInputMessage="1" showErrorMessage="1" promptTitle="AMI Levels" prompt="Select Yes or No from the drop down list._x000a_Only those AMI levels selected as Yes will appear in the Units &amp; Income worksheet." sqref="R17:R21" xr:uid="{00000000-0002-0000-0200-000050000000}">
      <formula1>YesNo</formula1>
    </dataValidation>
    <dataValidation type="list" allowBlank="1" showInputMessage="1" showErrorMessage="1" promptTitle="Type of Project" prompt="Is this project new or refinancing an existing DOH loan?" sqref="D6" xr:uid="{00000000-0002-0000-0200-000051000000}">
      <formula1>TypeofProject</formula1>
    </dataValidation>
    <dataValidation allowBlank="1" showInputMessage="1" promptTitle="Fax Number" prompt="Enter a 10 digit fax number._x000a_It will be automatically formatted." sqref="D24" xr:uid="{00000000-0002-0000-0200-000052000000}"/>
    <dataValidation allowBlank="1" showErrorMessage="1" promptTitle="LIHTC Allocation" prompt="If L8 = Yes, this field also = Yes." sqref="K31" xr:uid="{00000000-0002-0000-0200-000053000000}"/>
    <dataValidation type="whole" allowBlank="1" showErrorMessage="1" sqref="A4:D4" xr:uid="{00000000-0002-0000-0200-000054000000}">
      <formula1>0</formula1>
      <formula2>1</formula2>
    </dataValidation>
    <dataValidation type="list" allowBlank="1" showInputMessage="1" showErrorMessage="1" promptTitle="Year Max HOME" prompt="Select the calendar year to compute the maximum HOME Loan." sqref="K33" xr:uid="{00000000-0002-0000-0200-000055000000}">
      <formula1>Year2</formula1>
    </dataValidation>
    <dataValidation type="list" allowBlank="1" showInputMessage="1" showErrorMessage="1" promptTitle="ARC Program" prompt="Select if the Chicago ARC program will be used as a source of funds for the project. Selecting yes will automatically list all 30% AMI units as ARC units in the Units &amp; Income tab. The ARC loan calculation is found on the ARC tab." sqref="K29" xr:uid="{00000000-0002-0000-0200-000056000000}">
      <formula1>YesNo</formula1>
    </dataValidation>
    <dataValidation type="list" allowBlank="1" showInputMessage="1" showErrorMessage="1" promptTitle="IAHTC Allocation" prompt="Will the project receive donations and apply for state donations tax credits? All donations are listed on the Sources tab." sqref="K30" xr:uid="{00000000-0002-0000-0200-000057000000}">
      <formula1>YesNo</formula1>
    </dataValidation>
    <dataValidation allowBlank="1" showInputMessage="1" showErrorMessage="1" promptTitle="Max HOME Loan" prompt="This is the maximum HOME Loan calculated based on the information entered in the Max Rents Tab - Maximum HOME Loan section." sqref="L33" xr:uid="{00000000-0002-0000-0200-000058000000}"/>
    <dataValidation type="whole" allowBlank="1" showInputMessage="1" showErrorMessage="1" errorTitle="Invalid Number" error="Enter a number between 1 and 1,000,000." promptTitle="Non-residential Square Feet" prompt="Enter the square footage dedicated to items such as fitness facilities, common spaces, etc." sqref="D40" xr:uid="{00000000-0002-0000-0200-000059000000}">
      <formula1>0</formula1>
      <formula2>1000000</formula2>
    </dataValidation>
    <dataValidation allowBlank="1" showInputMessage="1" promptTitle="Alderman Selection" prompt="Select the Ward, above._x000a_If the alderman is incorrect, modify them in the LISTS tab." sqref="D13" xr:uid="{00000000-0002-0000-0200-00005A000000}"/>
    <dataValidation allowBlank="1" showInputMessage="1" showErrorMessage="1" promptTitle="Credits Applied For " prompt="This is the amount listed in the LIHTCs&amp;BLDGs tab as the amount of annual LIHTCs for this project." sqref="K17" xr:uid="{00000000-0002-0000-0200-00005B000000}"/>
    <dataValidation allowBlank="1" showInputMessage="1" showErrorMessage="1" promptTitle="Maximum LIHTCs Calculated" prompt="This is the maximum number of LIHTCs calculated in the LIHTCs&amp;BLDG tab." sqref="K16" xr:uid="{00000000-0002-0000-0200-00005C000000}"/>
    <dataValidation allowBlank="1" showInputMessage="1" showErrorMessage="1" promptTitle="Historic Credit Amount" prompt="This is the amount of historic tax credits estimated by the owner." sqref="K24" xr:uid="{00000000-0002-0000-0200-00005D000000}"/>
    <dataValidation allowBlank="1" showInputMessage="1" showErrorMessage="1" promptTitle="Historic Credits" prompt="This is the number of historic credits calculated by the program." sqref="K23" xr:uid="{00000000-0002-0000-0200-00005E000000}"/>
    <dataValidation allowBlank="1" showInputMessage="1" showErrorMessage="1" promptTitle="Construction period (mos)" prompt="Enter the anticipated number of months construction is anticipated to take. The Construction Completion date will be automatically calculated." sqref="R27" xr:uid="{00000000-0002-0000-0200-00005F000000}"/>
    <dataValidation allowBlank="1" showInputMessage="1" showErrorMessage="1" promptTitle="General Conditions" prompt="This is the percentage of General Conditions of the main net construction items entered on development costs (cells D13 - D15)." sqref="D45" xr:uid="{00000000-0002-0000-0200-000060000000}"/>
    <dataValidation allowBlank="1" showInputMessage="1" showErrorMessage="1" promptTitle="Total GC, OH, &amp; Profit:" prompt="This is the percentage of the sum of General Conditions, Overhead, and Profit of the main net construction items entered on development costs (cells D13 - D15)." sqref="D48:D49" xr:uid="{00000000-0002-0000-0200-000061000000}"/>
    <dataValidation type="decimal" allowBlank="1" showInputMessage="1" showErrorMessage="1" errorTitle="AFR Rate" error="The long term AFR must be greater than 1%." promptTitle="AFR Rate" prompt="This is the long term AFR that must be charged in certain underwriting circumstances and can affect if HOME or HOPE VI funds are considered &quot;Good&quot; or &quot;Bad&quot; for purposes of the LIHTC." sqref="K34" xr:uid="{00000000-0002-0000-0200-000062000000}">
      <formula1>0.01</formula1>
      <formula2>100</formula2>
    </dataValidation>
    <dataValidation allowBlank="1" showInputMessage="1" showErrorMessage="1" promptTitle="AFR Date" prompt="This is the Month and Year when the AFR value (to the left) was last updated." sqref="L34" xr:uid="{00000000-0002-0000-0200-000063000000}"/>
    <dataValidation allowBlank="1" showInputMessage="1" showErrorMessage="1" promptTitle="As-Is value" prompt="This is the value of the building/ land prior to the renovation/ construction." sqref="O36:R36" xr:uid="{00000000-0002-0000-0200-000064000000}"/>
    <dataValidation allowBlank="1" showInputMessage="1" showErrorMessage="1" promptTitle="As-Is Date" prompt="This is the date the as-is appraisal was dated." sqref="P37:R37" xr:uid="{00000000-0002-0000-0200-000065000000}"/>
    <dataValidation allowBlank="1" showInputMessage="1" showErrorMessage="1" promptTitle="As-Completed Value" prompt="This is the value of the project after all work has been completed." sqref="O38:R38" xr:uid="{00000000-0002-0000-0200-000066000000}"/>
    <dataValidation allowBlank="1" showInputMessage="1" showErrorMessage="1" promptTitle="As-Completed Date" prompt="This is the anticipated date that the As-Completed Value applies." sqref="P39:R39" xr:uid="{00000000-0002-0000-0200-000067000000}"/>
    <dataValidation allowBlank="1" showInputMessage="1" showErrorMessage="1" promptTitle="Lease-Up Reserve Calculated" prompt="This is the amount of negative losses anticipated between the date the first unit is occupied and achievement of 100% of units leased." sqref="O31:R31" xr:uid="{00000000-0002-0000-0200-000068000000}"/>
    <dataValidation allowBlank="1" showInputMessage="1" showErrorMessage="1" promptTitle="Residential Escalation Rate" prompt="This escalation rate will be applied to all residential income beginning in Year 2 of operations." sqref="O12" xr:uid="{00000000-0002-0000-0200-000069000000}"/>
    <dataValidation allowBlank="1" showInputMessage="1" showErrorMessage="1" promptTitle="Commercial Escalation Rate" prompt="This escalation rate will be applied to all commercial income beginning in Year 2 of operations." sqref="O13" xr:uid="{00000000-0002-0000-0200-00006A000000}"/>
    <dataValidation allowBlank="1" showInputMessage="1" showErrorMessage="1" promptTitle="Other Income Escalation Rate" prompt="This escalation rate will be applied to all type of other income beginning in Year 2 of operations." sqref="O14" xr:uid="{00000000-0002-0000-0200-00006B000000}"/>
    <dataValidation type="list" allowBlank="1" showInputMessage="1" showErrorMessage="1" promptTitle="30% AMI" prompt="30% AMI is automatically turned to Yes/No depending if the ARC Funds are activated (cell k29)._x000a_Select Yes or No from the drop down list._x000a_Only those AMI levels selected as Yes will appear in the Units &amp; Income worksheet." sqref="R16" xr:uid="{00000000-0002-0000-0200-00006C000000}">
      <formula1>YesNo</formula1>
    </dataValidation>
    <dataValidation allowBlank="1" showInputMessage="1" showErrorMessage="1" promptTitle="HOME Warning" prompt="If the HOME + ARC loan amounts entered exceed the amount shown in cell L33, a warning will appear in these cells." sqref="F35" xr:uid="{00000000-0002-0000-0200-00006D000000}"/>
    <dataValidation type="whole" allowBlank="1" showInputMessage="1" showErrorMessage="1" promptTitle="Print Options" prompt="Click on the Print Options button to bring up a selection of pre-formatted reports. In addition, any tab can be printed as desired. The pre-formatted reports, though, will not have the colors. " sqref="A1:D1 A3:D3" xr:uid="{00000000-0002-0000-0200-00006E000000}">
      <formula1>0</formula1>
      <formula2>1</formula2>
    </dataValidation>
    <dataValidation type="whole" allowBlank="1" showInputMessage="1" showErrorMessage="1" sqref="R3:R8" xr:uid="{00000000-0002-0000-0200-00006F000000}">
      <formula1>0</formula1>
      <formula2>200</formula2>
    </dataValidation>
    <dataValidation allowBlank="1" showInputMessage="1" showErrorMessage="1" promptTitle="Print Options" prompt="Click on the Print Options button to bring up a selection of pre-formatted reports. In addition, any tab can be printed as desired. The pre-formatted reports, though, will not have the colors. " sqref="A2" xr:uid="{00000000-0002-0000-0200-000070000000}"/>
  </dataValidations>
  <printOptions horizontalCentered="1" verticalCentered="1"/>
  <pageMargins left="0.39" right="0.27" top="0.4" bottom="0.52" header="0.18" footer="0.2"/>
  <pageSetup scale="77" orientation="landscape" horizontalDpi="1200" verticalDpi="300" r:id="rId1"/>
  <headerFooter alignWithMargins="0">
    <oddHeader xml:space="preserve">&amp;C&amp;"Arial,Bold"&amp;12Chicago Proforma Setup Page
</oddHeader>
    <oddFooter>&amp;L&amp;9&amp;Z&amp;F
Printed &amp;D&amp;RPage &amp;P of &amp;N</oddFooter>
  </headerFooter>
  <extLst>
    <ext xmlns:x14="http://schemas.microsoft.com/office/spreadsheetml/2009/9/main" uri="{CCE6A557-97BC-4b89-ADB6-D9C93CAAB3DF}">
      <x14:dataValidations xmlns:xm="http://schemas.microsoft.com/office/excel/2006/main" xWindow="57" yWindow="148" count="1">
        <x14:dataValidation type="list" allowBlank="1" showInputMessage="1" showErrorMessage="1" xr:uid="{00000000-0002-0000-0200-000071000000}">
          <x14:formula1>
            <xm:f>'TIF Lists'!$B$2:$B$141</xm:f>
          </x14:formula1>
          <xm:sqref>D15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indexed="34"/>
    <pageSetUpPr fitToPage="1"/>
  </sheetPr>
  <dimension ref="A1:CP257"/>
  <sheetViews>
    <sheetView topLeftCell="B97" zoomScale="108" zoomScaleNormal="108" workbookViewId="0">
      <selection activeCell="F30" sqref="F30"/>
    </sheetView>
  </sheetViews>
  <sheetFormatPr defaultColWidth="9.140625" defaultRowHeight="12"/>
  <cols>
    <col min="1" max="1" width="4.85546875" style="52" hidden="1" customWidth="1"/>
    <col min="2" max="2" width="2.85546875" style="57" customWidth="1"/>
    <col min="3" max="3" width="24.42578125" style="53" customWidth="1"/>
    <col min="4" max="4" width="12.140625" style="66" customWidth="1"/>
    <col min="5" max="5" width="14" style="67" customWidth="1"/>
    <col min="6" max="6" width="14.7109375" style="61" customWidth="1"/>
    <col min="7" max="7" width="11" style="62" customWidth="1"/>
    <col min="8" max="8" width="38.42578125" style="63" customWidth="1" collapsed="1"/>
    <col min="9" max="14" width="12" style="61" customWidth="1"/>
    <col min="15" max="15" width="0.28515625" style="64" customWidth="1" collapsed="1"/>
    <col min="16" max="17" width="12" style="61" customWidth="1"/>
    <col min="18" max="18" width="15.85546875" style="65" bestFit="1" customWidth="1"/>
    <col min="19" max="19" width="15.42578125" style="54" hidden="1" customWidth="1"/>
    <col min="20" max="20" width="2.7109375" style="55" hidden="1" customWidth="1"/>
    <col min="21" max="21" width="9.28515625" style="55" hidden="1" customWidth="1"/>
    <col min="22" max="94" width="9.140625" style="55"/>
    <col min="95" max="16384" width="9.140625" style="53"/>
  </cols>
  <sheetData>
    <row r="1" spans="1:94" s="50" customFormat="1" ht="13.5" thickBot="1">
      <c r="A1" s="1107"/>
      <c r="B1" s="720" t="str">
        <f>Deal_Overview!$D$2</f>
        <v>Enter Project Name Here</v>
      </c>
      <c r="C1" s="721"/>
      <c r="D1" s="47"/>
      <c r="E1" s="1108"/>
      <c r="F1" s="1109"/>
      <c r="G1" s="1110"/>
      <c r="H1" s="723"/>
      <c r="I1" s="1922" t="s">
        <v>269</v>
      </c>
      <c r="J1" s="1922"/>
      <c r="K1" s="1922"/>
      <c r="L1" s="1922"/>
      <c r="M1" s="1922"/>
      <c r="N1" s="1922"/>
      <c r="O1" s="1111"/>
      <c r="P1" s="1922" t="s">
        <v>270</v>
      </c>
      <c r="Q1" s="1922"/>
      <c r="R1" s="1922"/>
      <c r="S1" s="42"/>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row>
    <row r="2" spans="1:94" s="51" customFormat="1" ht="36.75" customHeight="1" thickTop="1">
      <c r="A2" s="1112" t="s">
        <v>271</v>
      </c>
      <c r="B2" s="1113" t="s">
        <v>272</v>
      </c>
      <c r="C2" s="1114"/>
      <c r="D2" s="1115" t="s">
        <v>273</v>
      </c>
      <c r="E2" s="1116" t="s">
        <v>274</v>
      </c>
      <c r="F2" s="1117" t="s">
        <v>275</v>
      </c>
      <c r="G2" s="1118" t="s">
        <v>276</v>
      </c>
      <c r="H2" s="1119" t="s">
        <v>277</v>
      </c>
      <c r="I2" s="1120" t="s">
        <v>278</v>
      </c>
      <c r="J2" s="1121" t="s">
        <v>279</v>
      </c>
      <c r="K2" s="1122" t="s">
        <v>280</v>
      </c>
      <c r="L2" s="1121" t="s">
        <v>281</v>
      </c>
      <c r="M2" s="1121" t="s">
        <v>282</v>
      </c>
      <c r="N2" s="1121" t="s">
        <v>283</v>
      </c>
      <c r="O2" s="1123"/>
      <c r="P2" s="1121" t="s">
        <v>284</v>
      </c>
      <c r="Q2" s="1121" t="s">
        <v>285</v>
      </c>
      <c r="R2" s="1124" t="s">
        <v>286</v>
      </c>
      <c r="S2" s="1125" t="s">
        <v>287</v>
      </c>
      <c r="T2" s="1126"/>
      <c r="U2" s="1126"/>
      <c r="V2" s="1126"/>
      <c r="W2" s="1126"/>
      <c r="X2" s="1126"/>
      <c r="Y2" s="1126"/>
      <c r="Z2" s="1126"/>
      <c r="AA2" s="1126"/>
      <c r="AB2" s="1126"/>
      <c r="AC2" s="1126"/>
      <c r="AD2" s="1126"/>
      <c r="AE2" s="1126"/>
      <c r="AF2" s="1126"/>
      <c r="AG2" s="1126"/>
      <c r="AH2" s="1126"/>
      <c r="AI2" s="1126"/>
      <c r="AJ2" s="1126"/>
      <c r="AK2" s="1126"/>
      <c r="AL2" s="1126"/>
      <c r="AM2" s="1126"/>
      <c r="AN2" s="1126"/>
      <c r="AO2" s="1126"/>
      <c r="AP2" s="1126"/>
      <c r="AQ2" s="1126"/>
      <c r="AR2" s="1126"/>
      <c r="AS2" s="1126"/>
      <c r="AT2" s="1126"/>
      <c r="AU2" s="1126"/>
      <c r="AV2" s="1126"/>
      <c r="AW2" s="1126"/>
      <c r="AX2" s="1126"/>
      <c r="AY2" s="1126"/>
      <c r="AZ2" s="1126"/>
      <c r="BA2" s="1126"/>
      <c r="BB2" s="1126"/>
      <c r="BC2" s="1126"/>
      <c r="BD2" s="1126"/>
      <c r="BE2" s="1126"/>
      <c r="BF2" s="1126"/>
      <c r="BG2" s="1126"/>
      <c r="BH2" s="1126"/>
      <c r="BI2" s="1126"/>
      <c r="BJ2" s="1126"/>
      <c r="BK2" s="1126"/>
      <c r="BL2" s="1126"/>
      <c r="BM2" s="1126"/>
      <c r="BN2" s="1126"/>
      <c r="BO2" s="1126"/>
      <c r="BP2" s="1126"/>
      <c r="BQ2" s="1126"/>
      <c r="BR2" s="1126"/>
      <c r="BS2" s="1126"/>
      <c r="BT2" s="1126"/>
      <c r="BU2" s="1126"/>
      <c r="BV2" s="1126"/>
      <c r="BW2" s="1126"/>
      <c r="BX2" s="1126"/>
      <c r="BY2" s="1126"/>
      <c r="BZ2" s="1126"/>
      <c r="CA2" s="1126"/>
      <c r="CB2" s="1126"/>
      <c r="CC2" s="1126"/>
      <c r="CD2" s="1126"/>
      <c r="CE2" s="1126"/>
      <c r="CF2" s="1126"/>
      <c r="CG2" s="1126"/>
      <c r="CH2" s="1126"/>
      <c r="CI2" s="1126"/>
      <c r="CJ2" s="1126"/>
      <c r="CK2" s="1126"/>
      <c r="CL2" s="1126"/>
      <c r="CM2" s="1126"/>
      <c r="CN2" s="1126"/>
      <c r="CO2" s="1126"/>
      <c r="CP2" s="1126"/>
    </row>
    <row r="3" spans="1:94">
      <c r="A3" s="1127">
        <v>1</v>
      </c>
      <c r="B3" s="1128"/>
      <c r="C3" s="1083" t="s">
        <v>288</v>
      </c>
      <c r="D3" s="1129">
        <f>ROUND(IF(F3=Lists!$D$5,E3,IF(F3=Lists!$D$6,E3*'Units&amp;Income'!$AV$94,IF(F3=Lists!$D$7,DevCosts!E3*Setup!$D$37,IF(F3=Lists!$D$8,E3*Setup!$D$38,IF(F3=Lists!$D$9,DevCosts!E3*DevCosts!$D$13,0))))),0)</f>
        <v>0</v>
      </c>
      <c r="E3" s="1130">
        <v>0</v>
      </c>
      <c r="F3" s="1131" t="s">
        <v>273</v>
      </c>
      <c r="G3" s="1132">
        <f>IF(Deal_Overview!$P$28=0,0,D3/Deal_Overview!$P$28)</f>
        <v>0</v>
      </c>
      <c r="H3" s="1133"/>
      <c r="I3" s="1134">
        <f>$D3*1</f>
        <v>0</v>
      </c>
      <c r="J3" s="1135">
        <f>D3*0</f>
        <v>0</v>
      </c>
      <c r="K3" s="1136">
        <f>D3*0</f>
        <v>0</v>
      </c>
      <c r="L3" s="1135">
        <f>SUM(I3:K3)*Setup!$L$3</f>
        <v>0</v>
      </c>
      <c r="M3" s="1137"/>
      <c r="N3" s="1138">
        <f t="shared" ref="N3:N11" si="0">D3-SUM(I3:K3)</f>
        <v>0</v>
      </c>
      <c r="O3" s="1139"/>
      <c r="P3" s="1135">
        <f t="shared" ref="P3:P10" si="1">SUM(I3:K3)-L3</f>
        <v>0</v>
      </c>
      <c r="Q3" s="1137"/>
      <c r="R3" s="1137"/>
      <c r="S3" s="1140">
        <f>IF(SUM(I3:K3)&gt;0,(L3/SUM(I3:K3))*I3,0)</f>
        <v>0</v>
      </c>
      <c r="T3" s="1141">
        <f>IF(S3&gt;M3,0,(M3-S3)*Setup!$L$22)</f>
        <v>0</v>
      </c>
      <c r="U3" s="1141"/>
      <c r="V3" s="1141"/>
      <c r="W3" s="1141"/>
      <c r="X3" s="1141"/>
      <c r="Y3" s="1141"/>
      <c r="Z3" s="1141"/>
      <c r="AA3" s="1141"/>
      <c r="AB3" s="1141"/>
      <c r="AC3" s="1141"/>
      <c r="AD3" s="1141"/>
      <c r="AE3" s="1141"/>
      <c r="AF3" s="1141"/>
      <c r="AG3" s="1141"/>
      <c r="AH3" s="1141"/>
      <c r="AI3" s="1141"/>
      <c r="AJ3" s="1141"/>
      <c r="AK3" s="1141"/>
      <c r="AL3" s="1141"/>
      <c r="AM3" s="1141"/>
      <c r="AN3" s="1141"/>
      <c r="AO3" s="1141"/>
      <c r="AP3" s="1141"/>
      <c r="AQ3" s="1141"/>
      <c r="AR3" s="1141"/>
      <c r="AS3" s="1141"/>
      <c r="AT3" s="1141"/>
      <c r="AU3" s="1141"/>
      <c r="AV3" s="1141"/>
      <c r="AW3" s="1141"/>
      <c r="AX3" s="1141"/>
      <c r="AY3" s="1141"/>
      <c r="AZ3" s="1141"/>
      <c r="BA3" s="1141"/>
      <c r="BB3" s="1141"/>
      <c r="BC3" s="1141"/>
      <c r="BD3" s="1141"/>
      <c r="BE3" s="1141"/>
      <c r="BF3" s="1141"/>
      <c r="BG3" s="1141"/>
      <c r="BH3" s="1141"/>
      <c r="BI3" s="1141"/>
      <c r="BJ3" s="1141"/>
      <c r="BK3" s="1141"/>
      <c r="BL3" s="1141"/>
      <c r="BM3" s="1141"/>
      <c r="BN3" s="1141"/>
      <c r="BO3" s="1141"/>
      <c r="BP3" s="1141"/>
      <c r="BQ3" s="1141"/>
      <c r="BR3" s="1141"/>
      <c r="BS3" s="1141"/>
      <c r="BT3" s="1141"/>
      <c r="BU3" s="1141"/>
      <c r="BV3" s="1141"/>
      <c r="BW3" s="1141"/>
      <c r="BX3" s="1141"/>
      <c r="BY3" s="1141"/>
      <c r="BZ3" s="1141"/>
      <c r="CA3" s="1141"/>
      <c r="CB3" s="1141"/>
      <c r="CC3" s="1141"/>
      <c r="CD3" s="1141"/>
      <c r="CE3" s="1141"/>
      <c r="CF3" s="1141"/>
      <c r="CG3" s="1141"/>
      <c r="CH3" s="1141"/>
      <c r="CI3" s="1141"/>
      <c r="CJ3" s="1141"/>
      <c r="CK3" s="1141"/>
      <c r="CL3" s="1141"/>
      <c r="CM3" s="1141"/>
      <c r="CN3" s="1141"/>
      <c r="CO3" s="1141"/>
      <c r="CP3" s="1141"/>
    </row>
    <row r="4" spans="1:94">
      <c r="A4" s="1127">
        <v>2</v>
      </c>
      <c r="B4" s="1128"/>
      <c r="C4" s="1083" t="s">
        <v>289</v>
      </c>
      <c r="D4" s="1142">
        <f>ROUND(IF(F4=Lists!$D$5,E4,IF(F4=Lists!$D$6,E4*'Units&amp;Income'!$AV$94,IF(F4=Lists!$D$7,DevCosts!E4*Setup!$D$37,IF(F4=Lists!$D$8,E4*Setup!$D$38,IF(F4=Lists!$D$9,DevCosts!E4*DevCosts!$D$13,0))))),0)</f>
        <v>0</v>
      </c>
      <c r="E4" s="1130">
        <v>0</v>
      </c>
      <c r="F4" s="1131" t="s">
        <v>273</v>
      </c>
      <c r="G4" s="1132">
        <f>IF(Deal_Overview!$P$28=0,0,D4/Deal_Overview!$P$28)</f>
        <v>0</v>
      </c>
      <c r="H4" s="1133"/>
      <c r="I4" s="1134">
        <f t="shared" ref="I4:K5" si="2">$D4*0</f>
        <v>0</v>
      </c>
      <c r="J4" s="1135">
        <f t="shared" si="2"/>
        <v>0</v>
      </c>
      <c r="K4" s="1136">
        <f t="shared" si="2"/>
        <v>0</v>
      </c>
      <c r="L4" s="1135">
        <f>SUM(I4:K4)*Setup!$L$3</f>
        <v>0</v>
      </c>
      <c r="M4" s="1137"/>
      <c r="N4" s="1138">
        <f t="shared" si="0"/>
        <v>0</v>
      </c>
      <c r="O4" s="1139"/>
      <c r="P4" s="1135">
        <f t="shared" si="1"/>
        <v>0</v>
      </c>
      <c r="Q4" s="1137"/>
      <c r="R4" s="1137"/>
      <c r="S4" s="1140">
        <f t="shared" ref="S4:S11" si="3">IF(SUM(I4:K4)&gt;0,(L4/SUM(I4:K4))*I4,0)</f>
        <v>0</v>
      </c>
      <c r="T4" s="1141">
        <f>IF(S4&gt;M4,0,(M4-S4)*Setup!$L$22)</f>
        <v>0</v>
      </c>
      <c r="U4" s="1141"/>
      <c r="V4" s="1141"/>
      <c r="W4" s="1141"/>
      <c r="X4" s="1141"/>
      <c r="Y4" s="1141"/>
      <c r="Z4" s="1141"/>
      <c r="AA4" s="1141"/>
      <c r="AB4" s="1141"/>
      <c r="AC4" s="1141"/>
      <c r="AD4" s="1141"/>
      <c r="AE4" s="1141"/>
      <c r="AF4" s="1141"/>
      <c r="AG4" s="1141"/>
      <c r="AH4" s="1141"/>
      <c r="AI4" s="1141"/>
      <c r="AJ4" s="1141"/>
      <c r="AK4" s="1141"/>
      <c r="AL4" s="1141"/>
      <c r="AM4" s="1141"/>
      <c r="AN4" s="1141"/>
      <c r="AO4" s="1141"/>
      <c r="AP4" s="1141"/>
      <c r="AQ4" s="1141"/>
      <c r="AR4" s="1141"/>
      <c r="AS4" s="1141"/>
      <c r="AT4" s="1141"/>
      <c r="AU4" s="1141"/>
      <c r="AV4" s="1141"/>
      <c r="AW4" s="1141"/>
      <c r="AX4" s="1141"/>
      <c r="AY4" s="1141"/>
      <c r="AZ4" s="1141"/>
      <c r="BA4" s="1141"/>
      <c r="BB4" s="1141"/>
      <c r="BC4" s="1141"/>
      <c r="BD4" s="1141"/>
      <c r="BE4" s="1141"/>
      <c r="BF4" s="1141"/>
      <c r="BG4" s="1141"/>
      <c r="BH4" s="1141"/>
      <c r="BI4" s="1141"/>
      <c r="BJ4" s="1141"/>
      <c r="BK4" s="1141"/>
      <c r="BL4" s="1141"/>
      <c r="BM4" s="1141"/>
      <c r="BN4" s="1141"/>
      <c r="BO4" s="1141"/>
      <c r="BP4" s="1141"/>
      <c r="BQ4" s="1141"/>
      <c r="BR4" s="1141"/>
      <c r="BS4" s="1141"/>
      <c r="BT4" s="1141"/>
      <c r="BU4" s="1141"/>
      <c r="BV4" s="1141"/>
      <c r="BW4" s="1141"/>
      <c r="BX4" s="1141"/>
      <c r="BY4" s="1141"/>
      <c r="BZ4" s="1141"/>
      <c r="CA4" s="1141"/>
      <c r="CB4" s="1141"/>
      <c r="CC4" s="1141"/>
      <c r="CD4" s="1141"/>
      <c r="CE4" s="1141"/>
      <c r="CF4" s="1141"/>
      <c r="CG4" s="1141"/>
      <c r="CH4" s="1141"/>
      <c r="CI4" s="1141"/>
      <c r="CJ4" s="1141"/>
      <c r="CK4" s="1141"/>
      <c r="CL4" s="1141"/>
      <c r="CM4" s="1141"/>
      <c r="CN4" s="1141"/>
      <c r="CO4" s="1141"/>
      <c r="CP4" s="1141"/>
    </row>
    <row r="5" spans="1:94">
      <c r="A5" s="1127">
        <v>3</v>
      </c>
      <c r="B5" s="1128"/>
      <c r="C5" s="1083" t="s">
        <v>290</v>
      </c>
      <c r="D5" s="1143">
        <f>ROUND(IF(F5=Lists!$D$5,E5,IF(F5=Lists!$D$6,E5*'Units&amp;Income'!$AV$94,IF(F5=Lists!$D$7,DevCosts!E5*Setup!$D$37,IF(F5=Lists!$D$8,E5*Setup!$D$38,IF(F5=Lists!$D$9,DevCosts!E5*DevCosts!$D$13,0))))),0)</f>
        <v>0</v>
      </c>
      <c r="E5" s="1144">
        <f>IF(Sources!A1="Existing Sources of Funds",ROUND(SUM(Sources!D3:D13),0),0)</f>
        <v>0</v>
      </c>
      <c r="F5" s="1135" t="s">
        <v>273</v>
      </c>
      <c r="G5" s="1132">
        <f>IF(Deal_Overview!$P$28=0,0,D5/Deal_Overview!$P$28)</f>
        <v>0</v>
      </c>
      <c r="H5" s="1133"/>
      <c r="I5" s="1134">
        <f t="shared" si="2"/>
        <v>0</v>
      </c>
      <c r="J5" s="1135">
        <f t="shared" si="2"/>
        <v>0</v>
      </c>
      <c r="K5" s="1136">
        <f t="shared" si="2"/>
        <v>0</v>
      </c>
      <c r="L5" s="1135">
        <f>SUM(I5:K5)*Setup!$L$3</f>
        <v>0</v>
      </c>
      <c r="M5" s="1137"/>
      <c r="N5" s="1138">
        <f t="shared" si="0"/>
        <v>0</v>
      </c>
      <c r="O5" s="1139"/>
      <c r="P5" s="1135">
        <f>SUM(I5:K5)-L5</f>
        <v>0</v>
      </c>
      <c r="Q5" s="1137"/>
      <c r="R5" s="1137"/>
      <c r="S5" s="1140">
        <f t="shared" si="3"/>
        <v>0</v>
      </c>
      <c r="T5" s="1141">
        <f>IF(S5&gt;M5,0,(M5-S5)*Setup!$L$22)</f>
        <v>0</v>
      </c>
      <c r="U5" s="1141"/>
      <c r="V5" s="1141"/>
      <c r="W5" s="1141"/>
      <c r="X5" s="1141"/>
      <c r="Y5" s="1141"/>
      <c r="Z5" s="1141"/>
      <c r="AA5" s="1141"/>
      <c r="AB5" s="1141"/>
      <c r="AC5" s="1141"/>
      <c r="AD5" s="1141"/>
      <c r="AE5" s="1141"/>
      <c r="AF5" s="1141"/>
      <c r="AG5" s="1141"/>
      <c r="AH5" s="1141"/>
      <c r="AI5" s="1141"/>
      <c r="AJ5" s="1141"/>
      <c r="AK5" s="1141"/>
      <c r="AL5" s="1141"/>
      <c r="AM5" s="1141"/>
      <c r="AN5" s="1141"/>
      <c r="AO5" s="1141"/>
      <c r="AP5" s="1141"/>
      <c r="AQ5" s="1141"/>
      <c r="AR5" s="1141"/>
      <c r="AS5" s="1141"/>
      <c r="AT5" s="1141"/>
      <c r="AU5" s="1141"/>
      <c r="AV5" s="1141"/>
      <c r="AW5" s="1141"/>
      <c r="AX5" s="1141"/>
      <c r="AY5" s="1141"/>
      <c r="AZ5" s="1141"/>
      <c r="BA5" s="1141"/>
      <c r="BB5" s="1141"/>
      <c r="BC5" s="1141"/>
      <c r="BD5" s="1141"/>
      <c r="BE5" s="1141"/>
      <c r="BF5" s="1141"/>
      <c r="BG5" s="1141"/>
      <c r="BH5" s="1141"/>
      <c r="BI5" s="1141"/>
      <c r="BJ5" s="1141"/>
      <c r="BK5" s="1141"/>
      <c r="BL5" s="1141"/>
      <c r="BM5" s="1141"/>
      <c r="BN5" s="1141"/>
      <c r="BO5" s="1141"/>
      <c r="BP5" s="1141"/>
      <c r="BQ5" s="1141"/>
      <c r="BR5" s="1141"/>
      <c r="BS5" s="1141"/>
      <c r="BT5" s="1141"/>
      <c r="BU5" s="1141"/>
      <c r="BV5" s="1141"/>
      <c r="BW5" s="1141"/>
      <c r="BX5" s="1141"/>
      <c r="BY5" s="1141"/>
      <c r="BZ5" s="1141"/>
      <c r="CA5" s="1141"/>
      <c r="CB5" s="1141"/>
      <c r="CC5" s="1141"/>
      <c r="CD5" s="1141"/>
      <c r="CE5" s="1141"/>
      <c r="CF5" s="1141"/>
      <c r="CG5" s="1141"/>
      <c r="CH5" s="1141"/>
      <c r="CI5" s="1141"/>
      <c r="CJ5" s="1141"/>
      <c r="CK5" s="1141"/>
      <c r="CL5" s="1141"/>
      <c r="CM5" s="1141"/>
      <c r="CN5" s="1141"/>
      <c r="CO5" s="1141"/>
      <c r="CP5" s="1141"/>
    </row>
    <row r="6" spans="1:94">
      <c r="A6" s="1127">
        <v>4</v>
      </c>
      <c r="B6" s="1128"/>
      <c r="C6" s="1083" t="s">
        <v>291</v>
      </c>
      <c r="D6" s="1143">
        <f>ROUND(IF(F6=Lists!$D$5,E6,IF(F6=Lists!$D$6,E6*'Units&amp;Income'!$AV$94,IF(F6=Lists!$D$7,DevCosts!E6*Setup!$D$37,IF(F6=Lists!$D$8,E6*Setup!$D$38,IF(F6=Lists!$D$9,DevCosts!E6*DevCosts!$D$13,0))))),0)</f>
        <v>0</v>
      </c>
      <c r="E6" s="1130">
        <v>0</v>
      </c>
      <c r="F6" s="1131" t="s">
        <v>273</v>
      </c>
      <c r="G6" s="1132">
        <f>IF(Deal_Overview!$P$28=0,0,D6/Deal_Overview!$P$28)</f>
        <v>0</v>
      </c>
      <c r="H6" s="1133"/>
      <c r="I6" s="1134">
        <f>$D6*1</f>
        <v>0</v>
      </c>
      <c r="J6" s="1135">
        <f>D6*0</f>
        <v>0</v>
      </c>
      <c r="K6" s="1136">
        <f>D6*0</f>
        <v>0</v>
      </c>
      <c r="L6" s="1135">
        <f>SUM(I6:K6)*Setup!$L$3</f>
        <v>0</v>
      </c>
      <c r="M6" s="1137"/>
      <c r="N6" s="1138">
        <f t="shared" si="0"/>
        <v>0</v>
      </c>
      <c r="O6" s="1139"/>
      <c r="P6" s="1135">
        <f t="shared" si="1"/>
        <v>0</v>
      </c>
      <c r="Q6" s="1137"/>
      <c r="R6" s="1137"/>
      <c r="S6" s="1140">
        <f t="shared" si="3"/>
        <v>0</v>
      </c>
      <c r="T6" s="1141">
        <f>IF(S6&gt;M6,0,(M6-S6)*Setup!$L$22)</f>
        <v>0</v>
      </c>
      <c r="U6" s="1141"/>
      <c r="V6" s="1141"/>
      <c r="W6" s="1141"/>
      <c r="X6" s="1141"/>
      <c r="Y6" s="1141"/>
      <c r="Z6" s="1141"/>
      <c r="AA6" s="1141"/>
      <c r="AB6" s="1141"/>
      <c r="AC6" s="1141"/>
      <c r="AD6" s="1141"/>
      <c r="AE6" s="1141"/>
      <c r="AF6" s="1141"/>
      <c r="AG6" s="1141"/>
      <c r="AH6" s="1141"/>
      <c r="AI6" s="1141"/>
      <c r="AJ6" s="1141"/>
      <c r="AK6" s="1141"/>
      <c r="AL6" s="1141"/>
      <c r="AM6" s="1141"/>
      <c r="AN6" s="1141"/>
      <c r="AO6" s="1141"/>
      <c r="AP6" s="1141"/>
      <c r="AQ6" s="1141"/>
      <c r="AR6" s="1141"/>
      <c r="AS6" s="1141"/>
      <c r="AT6" s="1141"/>
      <c r="AU6" s="1141"/>
      <c r="AV6" s="1141"/>
      <c r="AW6" s="1141"/>
      <c r="AX6" s="1141"/>
      <c r="AY6" s="1141"/>
      <c r="AZ6" s="1141"/>
      <c r="BA6" s="1141"/>
      <c r="BB6" s="1141"/>
      <c r="BC6" s="1141"/>
      <c r="BD6" s="1141"/>
      <c r="BE6" s="1141"/>
      <c r="BF6" s="1141"/>
      <c r="BG6" s="1141"/>
      <c r="BH6" s="1141"/>
      <c r="BI6" s="1141"/>
      <c r="BJ6" s="1141"/>
      <c r="BK6" s="1141"/>
      <c r="BL6" s="1141"/>
      <c r="BM6" s="1141"/>
      <c r="BN6" s="1141"/>
      <c r="BO6" s="1141"/>
      <c r="BP6" s="1141"/>
      <c r="BQ6" s="1141"/>
      <c r="BR6" s="1141"/>
      <c r="BS6" s="1141"/>
      <c r="BT6" s="1141"/>
      <c r="BU6" s="1141"/>
      <c r="BV6" s="1141"/>
      <c r="BW6" s="1141"/>
      <c r="BX6" s="1141"/>
      <c r="BY6" s="1141"/>
      <c r="BZ6" s="1141"/>
      <c r="CA6" s="1141"/>
      <c r="CB6" s="1141"/>
      <c r="CC6" s="1141"/>
      <c r="CD6" s="1141"/>
      <c r="CE6" s="1141"/>
      <c r="CF6" s="1141"/>
      <c r="CG6" s="1141"/>
      <c r="CH6" s="1141"/>
      <c r="CI6" s="1141"/>
      <c r="CJ6" s="1141"/>
      <c r="CK6" s="1141"/>
      <c r="CL6" s="1141"/>
      <c r="CM6" s="1141"/>
      <c r="CN6" s="1141"/>
      <c r="CO6" s="1141"/>
      <c r="CP6" s="1141"/>
    </row>
    <row r="7" spans="1:94">
      <c r="A7" s="1127">
        <v>5</v>
      </c>
      <c r="B7" s="1128"/>
      <c r="C7" s="1083" t="s">
        <v>292</v>
      </c>
      <c r="D7" s="1143">
        <f>ROUND(IF(F7=Lists!$D$5,E7,IF(F7=Lists!$D$6,E7*'Units&amp;Income'!$AV$94,IF(F7=Lists!$D$7,DevCosts!E7*Setup!$D$37,IF(F7=Lists!$D$8,E7*Setup!$D$38,IF(F7=Lists!$D$9,DevCosts!E7*DevCosts!$D$13,0))))),0)</f>
        <v>0</v>
      </c>
      <c r="E7" s="1130">
        <v>0</v>
      </c>
      <c r="F7" s="1131" t="s">
        <v>273</v>
      </c>
      <c r="G7" s="1132">
        <f>IF(Deal_Overview!$P$28=0,0,D7/Deal_Overview!$P$28)</f>
        <v>0</v>
      </c>
      <c r="H7" s="1133"/>
      <c r="I7" s="1134">
        <f>$D7*1</f>
        <v>0</v>
      </c>
      <c r="J7" s="1135">
        <f>D7*0</f>
        <v>0</v>
      </c>
      <c r="K7" s="1136">
        <f>D7*0</f>
        <v>0</v>
      </c>
      <c r="L7" s="1135">
        <f>SUM(I7:K7)*Setup!$L$3</f>
        <v>0</v>
      </c>
      <c r="M7" s="1137"/>
      <c r="N7" s="1138">
        <f t="shared" si="0"/>
        <v>0</v>
      </c>
      <c r="O7" s="1139"/>
      <c r="P7" s="1135">
        <f t="shared" si="1"/>
        <v>0</v>
      </c>
      <c r="Q7" s="1137"/>
      <c r="R7" s="1137"/>
      <c r="S7" s="1140">
        <f t="shared" si="3"/>
        <v>0</v>
      </c>
      <c r="T7" s="1141">
        <f>IF(S7&gt;M7,0,(M7-S7)*Setup!$L$22)</f>
        <v>0</v>
      </c>
      <c r="U7" s="1141"/>
      <c r="V7" s="1141"/>
      <c r="W7" s="1141"/>
      <c r="X7" s="1141"/>
      <c r="Y7" s="1141"/>
      <c r="Z7" s="1141"/>
      <c r="AA7" s="1141"/>
      <c r="AB7" s="1141"/>
      <c r="AC7" s="1141"/>
      <c r="AD7" s="1141"/>
      <c r="AE7" s="1141"/>
      <c r="AF7" s="1141"/>
      <c r="AG7" s="1141"/>
      <c r="AH7" s="1141"/>
      <c r="AI7" s="1141"/>
      <c r="AJ7" s="1141"/>
      <c r="AK7" s="1141"/>
      <c r="AL7" s="1141"/>
      <c r="AM7" s="1141"/>
      <c r="AN7" s="1141"/>
      <c r="AO7" s="1141"/>
      <c r="AP7" s="1141"/>
      <c r="AQ7" s="1141"/>
      <c r="AR7" s="1141"/>
      <c r="AS7" s="1141"/>
      <c r="AT7" s="1141"/>
      <c r="AU7" s="1141"/>
      <c r="AV7" s="1141"/>
      <c r="AW7" s="1141"/>
      <c r="AX7" s="1141"/>
      <c r="AY7" s="1141"/>
      <c r="AZ7" s="1141"/>
      <c r="BA7" s="1141"/>
      <c r="BB7" s="1141"/>
      <c r="BC7" s="1141"/>
      <c r="BD7" s="1141"/>
      <c r="BE7" s="1141"/>
      <c r="BF7" s="1141"/>
      <c r="BG7" s="1141"/>
      <c r="BH7" s="1141"/>
      <c r="BI7" s="1141"/>
      <c r="BJ7" s="1141"/>
      <c r="BK7" s="1141"/>
      <c r="BL7" s="1141"/>
      <c r="BM7" s="1141"/>
      <c r="BN7" s="1141"/>
      <c r="BO7" s="1141"/>
      <c r="BP7" s="1141"/>
      <c r="BQ7" s="1141"/>
      <c r="BR7" s="1141"/>
      <c r="BS7" s="1141"/>
      <c r="BT7" s="1141"/>
      <c r="BU7" s="1141"/>
      <c r="BV7" s="1141"/>
      <c r="BW7" s="1141"/>
      <c r="BX7" s="1141"/>
      <c r="BY7" s="1141"/>
      <c r="BZ7" s="1141"/>
      <c r="CA7" s="1141"/>
      <c r="CB7" s="1141"/>
      <c r="CC7" s="1141"/>
      <c r="CD7" s="1141"/>
      <c r="CE7" s="1141"/>
      <c r="CF7" s="1141"/>
      <c r="CG7" s="1141"/>
      <c r="CH7" s="1141"/>
      <c r="CI7" s="1141"/>
      <c r="CJ7" s="1141"/>
      <c r="CK7" s="1141"/>
      <c r="CL7" s="1141"/>
      <c r="CM7" s="1141"/>
      <c r="CN7" s="1141"/>
      <c r="CO7" s="1141"/>
      <c r="CP7" s="1141"/>
    </row>
    <row r="8" spans="1:94">
      <c r="A8" s="1127">
        <v>6</v>
      </c>
      <c r="B8" s="1128"/>
      <c r="C8" s="1083" t="s">
        <v>293</v>
      </c>
      <c r="D8" s="1143">
        <f>ROUND(IF(F8=Lists!$D$5,E8,IF(F8=Lists!$D$6,E8*'Units&amp;Income'!$AV$94,IF(F8=Lists!$D$7,DevCosts!E8*Setup!$D$37,IF(F8=Lists!$D$8,E8*Setup!$D$38,IF(F8=Lists!$D$9,DevCosts!E8*DevCosts!$D$13,0))))),0)</f>
        <v>0</v>
      </c>
      <c r="E8" s="1130">
        <v>0</v>
      </c>
      <c r="F8" s="1131" t="s">
        <v>273</v>
      </c>
      <c r="G8" s="1132">
        <f>IF(Deal_Overview!$P$28=0,0,D8/Deal_Overview!$P$28)</f>
        <v>0</v>
      </c>
      <c r="H8" s="1133"/>
      <c r="I8" s="1134">
        <f>$D8*1</f>
        <v>0</v>
      </c>
      <c r="J8" s="1135">
        <f>D8*0</f>
        <v>0</v>
      </c>
      <c r="K8" s="1136">
        <f>D8*0</f>
        <v>0</v>
      </c>
      <c r="L8" s="1135">
        <f>SUM(I8:K8)*Setup!$L$3</f>
        <v>0</v>
      </c>
      <c r="M8" s="1137"/>
      <c r="N8" s="1138">
        <f t="shared" si="0"/>
        <v>0</v>
      </c>
      <c r="O8" s="1139"/>
      <c r="P8" s="1135">
        <f t="shared" si="1"/>
        <v>0</v>
      </c>
      <c r="Q8" s="1137"/>
      <c r="R8" s="1137"/>
      <c r="S8" s="1140">
        <f t="shared" si="3"/>
        <v>0</v>
      </c>
      <c r="T8" s="1141">
        <f>IF(S8&gt;M8,0,(M8-S8)*Setup!$L$22)</f>
        <v>0</v>
      </c>
      <c r="U8" s="1141"/>
      <c r="V8" s="1141"/>
      <c r="W8" s="1141"/>
      <c r="X8" s="1141"/>
      <c r="Y8" s="1141"/>
      <c r="Z8" s="1141"/>
      <c r="AA8" s="1141"/>
      <c r="AB8" s="1141"/>
      <c r="AC8" s="1141"/>
      <c r="AD8" s="1141"/>
      <c r="AE8" s="1141"/>
      <c r="AF8" s="1141"/>
      <c r="AG8" s="1141"/>
      <c r="AH8" s="1141"/>
      <c r="AI8" s="1141"/>
      <c r="AJ8" s="1141"/>
      <c r="AK8" s="1141"/>
      <c r="AL8" s="1141"/>
      <c r="AM8" s="1141"/>
      <c r="AN8" s="1141"/>
      <c r="AO8" s="1141"/>
      <c r="AP8" s="1141"/>
      <c r="AQ8" s="1141"/>
      <c r="AR8" s="1141"/>
      <c r="AS8" s="1141"/>
      <c r="AT8" s="1141"/>
      <c r="AU8" s="1141"/>
      <c r="AV8" s="1141"/>
      <c r="AW8" s="1141"/>
      <c r="AX8" s="1141"/>
      <c r="AY8" s="1141"/>
      <c r="AZ8" s="1141"/>
      <c r="BA8" s="1141"/>
      <c r="BB8" s="1141"/>
      <c r="BC8" s="1141"/>
      <c r="BD8" s="1141"/>
      <c r="BE8" s="1141"/>
      <c r="BF8" s="1141"/>
      <c r="BG8" s="1141"/>
      <c r="BH8" s="1141"/>
      <c r="BI8" s="1141"/>
      <c r="BJ8" s="1141"/>
      <c r="BK8" s="1141"/>
      <c r="BL8" s="1141"/>
      <c r="BM8" s="1141"/>
      <c r="BN8" s="1141"/>
      <c r="BO8" s="1141"/>
      <c r="BP8" s="1141"/>
      <c r="BQ8" s="1141"/>
      <c r="BR8" s="1141"/>
      <c r="BS8" s="1141"/>
      <c r="BT8" s="1141"/>
      <c r="BU8" s="1141"/>
      <c r="BV8" s="1141"/>
      <c r="BW8" s="1141"/>
      <c r="BX8" s="1141"/>
      <c r="BY8" s="1141"/>
      <c r="BZ8" s="1141"/>
      <c r="CA8" s="1141"/>
      <c r="CB8" s="1141"/>
      <c r="CC8" s="1141"/>
      <c r="CD8" s="1141"/>
      <c r="CE8" s="1141"/>
      <c r="CF8" s="1141"/>
      <c r="CG8" s="1141"/>
      <c r="CH8" s="1141"/>
      <c r="CI8" s="1141"/>
      <c r="CJ8" s="1141"/>
      <c r="CK8" s="1141"/>
      <c r="CL8" s="1141"/>
      <c r="CM8" s="1141"/>
      <c r="CN8" s="1141"/>
      <c r="CO8" s="1141"/>
      <c r="CP8" s="1141"/>
    </row>
    <row r="9" spans="1:94">
      <c r="A9" s="1127">
        <v>7</v>
      </c>
      <c r="B9" s="1128"/>
      <c r="C9" s="1083" t="s">
        <v>294</v>
      </c>
      <c r="D9" s="1143">
        <f>ROUND(IF(F9=Lists!$D$5,E9,IF(F9=Lists!$D$6,E9*'Units&amp;Income'!$AV$94,IF(F9=Lists!$D$7,DevCosts!E9*Setup!$D$37,IF(F9=Lists!$D$8,E9*Setup!$D$38,IF(F9=Lists!$D$9,DevCosts!E9*DevCosts!$D$13,0))))),0)</f>
        <v>0</v>
      </c>
      <c r="E9" s="1130">
        <v>0</v>
      </c>
      <c r="F9" s="1131" t="s">
        <v>273</v>
      </c>
      <c r="G9" s="1132">
        <f>IF(Deal_Overview!$P$28=0,0,D9/Deal_Overview!$P$28)</f>
        <v>0</v>
      </c>
      <c r="H9" s="1133"/>
      <c r="I9" s="1134">
        <f>$D9*1</f>
        <v>0</v>
      </c>
      <c r="J9" s="1135">
        <f>D9*0</f>
        <v>0</v>
      </c>
      <c r="K9" s="1136">
        <f>D9*0</f>
        <v>0</v>
      </c>
      <c r="L9" s="1135">
        <f>SUM(I9:K9)*Setup!$L$3</f>
        <v>0</v>
      </c>
      <c r="M9" s="1137"/>
      <c r="N9" s="1138">
        <f t="shared" si="0"/>
        <v>0</v>
      </c>
      <c r="O9" s="1139"/>
      <c r="P9" s="1135">
        <f t="shared" si="1"/>
        <v>0</v>
      </c>
      <c r="Q9" s="1137"/>
      <c r="R9" s="1137"/>
      <c r="S9" s="1140">
        <f t="shared" si="3"/>
        <v>0</v>
      </c>
      <c r="T9" s="1141">
        <f>IF(S9&gt;M9,0,(M9-S9)*Setup!$L$22)</f>
        <v>0</v>
      </c>
      <c r="U9" s="1141"/>
      <c r="V9" s="1141"/>
      <c r="W9" s="1141"/>
      <c r="X9" s="1141"/>
      <c r="Y9" s="1141"/>
      <c r="Z9" s="1141"/>
      <c r="AA9" s="1141"/>
      <c r="AB9" s="1141"/>
      <c r="AC9" s="1141"/>
      <c r="AD9" s="1141"/>
      <c r="AE9" s="1141"/>
      <c r="AF9" s="1141"/>
      <c r="AG9" s="1141"/>
      <c r="AH9" s="1141"/>
      <c r="AI9" s="1141"/>
      <c r="AJ9" s="1141"/>
      <c r="AK9" s="1141"/>
      <c r="AL9" s="1141"/>
      <c r="AM9" s="1141"/>
      <c r="AN9" s="1141"/>
      <c r="AO9" s="1141"/>
      <c r="AP9" s="1141"/>
      <c r="AQ9" s="1141"/>
      <c r="AR9" s="1141"/>
      <c r="AS9" s="1141"/>
      <c r="AT9" s="1141"/>
      <c r="AU9" s="1141"/>
      <c r="AV9" s="1141"/>
      <c r="AW9" s="1141"/>
      <c r="AX9" s="1141"/>
      <c r="AY9" s="1141"/>
      <c r="AZ9" s="1141"/>
      <c r="BA9" s="1141"/>
      <c r="BB9" s="1141"/>
      <c r="BC9" s="1141"/>
      <c r="BD9" s="1141"/>
      <c r="BE9" s="1141"/>
      <c r="BF9" s="1141"/>
      <c r="BG9" s="1141"/>
      <c r="BH9" s="1141"/>
      <c r="BI9" s="1141"/>
      <c r="BJ9" s="1141"/>
      <c r="BK9" s="1141"/>
      <c r="BL9" s="1141"/>
      <c r="BM9" s="1141"/>
      <c r="BN9" s="1141"/>
      <c r="BO9" s="1141"/>
      <c r="BP9" s="1141"/>
      <c r="BQ9" s="1141"/>
      <c r="BR9" s="1141"/>
      <c r="BS9" s="1141"/>
      <c r="BT9" s="1141"/>
      <c r="BU9" s="1141"/>
      <c r="BV9" s="1141"/>
      <c r="BW9" s="1141"/>
      <c r="BX9" s="1141"/>
      <c r="BY9" s="1141"/>
      <c r="BZ9" s="1141"/>
      <c r="CA9" s="1141"/>
      <c r="CB9" s="1141"/>
      <c r="CC9" s="1141"/>
      <c r="CD9" s="1141"/>
      <c r="CE9" s="1141"/>
      <c r="CF9" s="1141"/>
      <c r="CG9" s="1141"/>
      <c r="CH9" s="1141"/>
      <c r="CI9" s="1141"/>
      <c r="CJ9" s="1141"/>
      <c r="CK9" s="1141"/>
      <c r="CL9" s="1141"/>
      <c r="CM9" s="1141"/>
      <c r="CN9" s="1141"/>
      <c r="CO9" s="1141"/>
      <c r="CP9" s="1141"/>
    </row>
    <row r="10" spans="1:94">
      <c r="A10" s="1127">
        <v>8</v>
      </c>
      <c r="B10" s="1128"/>
      <c r="C10" s="1083" t="s">
        <v>295</v>
      </c>
      <c r="D10" s="1143">
        <f>ROUND(IF(F10=Lists!$D$5,E10,IF(F10=Lists!$D$6,E10*'Units&amp;Income'!$AV$94,IF(F10=Lists!$D$7,DevCosts!E10*Setup!$D$37,IF(F10=Lists!$D$8,E10*Setup!$D$38,IF(F10=Lists!$D$9,DevCosts!E10*DevCosts!$D$13,0))))),0)</f>
        <v>0</v>
      </c>
      <c r="E10" s="1130">
        <v>0</v>
      </c>
      <c r="F10" s="1131" t="s">
        <v>273</v>
      </c>
      <c r="G10" s="1132">
        <f>IF(Deal_Overview!$P$28=0,0,D10/Deal_Overview!$P$28)</f>
        <v>0</v>
      </c>
      <c r="H10" s="1133"/>
      <c r="I10" s="1134">
        <f t="shared" ref="I10:K11" si="4">$D10*0</f>
        <v>0</v>
      </c>
      <c r="J10" s="1135">
        <f t="shared" si="4"/>
        <v>0</v>
      </c>
      <c r="K10" s="1136">
        <f t="shared" si="4"/>
        <v>0</v>
      </c>
      <c r="L10" s="1135">
        <f>SUM(I10:K10)*Setup!$L$3</f>
        <v>0</v>
      </c>
      <c r="M10" s="1137"/>
      <c r="N10" s="1138">
        <f t="shared" si="0"/>
        <v>0</v>
      </c>
      <c r="O10" s="1139"/>
      <c r="P10" s="1135">
        <f t="shared" si="1"/>
        <v>0</v>
      </c>
      <c r="Q10" s="1137"/>
      <c r="R10" s="1137"/>
      <c r="S10" s="1140">
        <f t="shared" si="3"/>
        <v>0</v>
      </c>
      <c r="T10" s="1141">
        <f>IF(S10&gt;M10,0,(M10-S10)*Setup!$L$22)</f>
        <v>0</v>
      </c>
      <c r="U10" s="1141"/>
      <c r="V10" s="1141"/>
      <c r="W10" s="1141"/>
      <c r="X10" s="1141"/>
      <c r="Y10" s="1141"/>
      <c r="Z10" s="1141"/>
      <c r="AA10" s="1141"/>
      <c r="AB10" s="1141"/>
      <c r="AC10" s="1141"/>
      <c r="AD10" s="1141"/>
      <c r="AE10" s="1141"/>
      <c r="AF10" s="1141"/>
      <c r="AG10" s="1141"/>
      <c r="AH10" s="1141"/>
      <c r="AI10" s="1141"/>
      <c r="AJ10" s="1141"/>
      <c r="AK10" s="1141"/>
      <c r="AL10" s="1141"/>
      <c r="AM10" s="1141"/>
      <c r="AN10" s="1141"/>
      <c r="AO10" s="1141"/>
      <c r="AP10" s="1141"/>
      <c r="AQ10" s="1141"/>
      <c r="AR10" s="1141"/>
      <c r="AS10" s="1141"/>
      <c r="AT10" s="1141"/>
      <c r="AU10" s="1141"/>
      <c r="AV10" s="1141"/>
      <c r="AW10" s="1141"/>
      <c r="AX10" s="1141"/>
      <c r="AY10" s="1141"/>
      <c r="AZ10" s="1141"/>
      <c r="BA10" s="1141"/>
      <c r="BB10" s="1141"/>
      <c r="BC10" s="1141"/>
      <c r="BD10" s="1141"/>
      <c r="BE10" s="1141"/>
      <c r="BF10" s="1141"/>
      <c r="BG10" s="1141"/>
      <c r="BH10" s="1141"/>
      <c r="BI10" s="1141"/>
      <c r="BJ10" s="1141"/>
      <c r="BK10" s="1141"/>
      <c r="BL10" s="1141"/>
      <c r="BM10" s="1141"/>
      <c r="BN10" s="1141"/>
      <c r="BO10" s="1141"/>
      <c r="BP10" s="1141"/>
      <c r="BQ10" s="1141"/>
      <c r="BR10" s="1141"/>
      <c r="BS10" s="1141"/>
      <c r="BT10" s="1141"/>
      <c r="BU10" s="1141"/>
      <c r="BV10" s="1141"/>
      <c r="BW10" s="1141"/>
      <c r="BX10" s="1141"/>
      <c r="BY10" s="1141"/>
      <c r="BZ10" s="1141"/>
      <c r="CA10" s="1141"/>
      <c r="CB10" s="1141"/>
      <c r="CC10" s="1141"/>
      <c r="CD10" s="1141"/>
      <c r="CE10" s="1141"/>
      <c r="CF10" s="1141"/>
      <c r="CG10" s="1141"/>
      <c r="CH10" s="1141"/>
      <c r="CI10" s="1141"/>
      <c r="CJ10" s="1141"/>
      <c r="CK10" s="1141"/>
      <c r="CL10" s="1141"/>
      <c r="CM10" s="1141"/>
      <c r="CN10" s="1141"/>
      <c r="CO10" s="1141"/>
      <c r="CP10" s="1141"/>
    </row>
    <row r="11" spans="1:94">
      <c r="A11" s="1127">
        <v>9</v>
      </c>
      <c r="B11" s="1128"/>
      <c r="C11" s="1083" t="s">
        <v>296</v>
      </c>
      <c r="D11" s="1143">
        <f>ROUND(IF(F11=Lists!$D$5,E11,IF(F11=Lists!$D$6,E11*'Units&amp;Income'!$AV$94,IF(F11=Lists!$D$7,DevCosts!E11*Setup!$D$37,IF(F11=Lists!$D$8,E11*Setup!$D$38,IF(F11=Lists!$D$9,DevCosts!E11*DevCosts!$D$13,0))))),0)</f>
        <v>0</v>
      </c>
      <c r="E11" s="1130">
        <v>0</v>
      </c>
      <c r="F11" s="1131" t="s">
        <v>273</v>
      </c>
      <c r="G11" s="1132">
        <f>IF(Deal_Overview!$P$28=0,0,D11/Deal_Overview!$P$28)</f>
        <v>0</v>
      </c>
      <c r="H11" s="1133"/>
      <c r="I11" s="1134">
        <f t="shared" si="4"/>
        <v>0</v>
      </c>
      <c r="J11" s="1135">
        <f t="shared" si="4"/>
        <v>0</v>
      </c>
      <c r="K11" s="1136">
        <f t="shared" si="4"/>
        <v>0</v>
      </c>
      <c r="L11" s="1135">
        <f>SUM(I11:K11)*Setup!$L$3</f>
        <v>0</v>
      </c>
      <c r="M11" s="1137"/>
      <c r="N11" s="1138">
        <f t="shared" si="0"/>
        <v>0</v>
      </c>
      <c r="O11" s="1139"/>
      <c r="P11" s="1135">
        <f>SUM(I11:K11)-L11</f>
        <v>0</v>
      </c>
      <c r="Q11" s="1137"/>
      <c r="R11" s="1137"/>
      <c r="S11" s="1140">
        <f t="shared" si="3"/>
        <v>0</v>
      </c>
      <c r="T11" s="1141">
        <f>IF(S11&gt;M11,0,(M11-S11)*Setup!$L$22)</f>
        <v>0</v>
      </c>
      <c r="U11" s="1141"/>
      <c r="V11" s="1141"/>
      <c r="W11" s="1141"/>
      <c r="X11" s="1141"/>
      <c r="Y11" s="1141"/>
      <c r="Z11" s="1141"/>
      <c r="AA11" s="1141"/>
      <c r="AB11" s="1141"/>
      <c r="AC11" s="1141"/>
      <c r="AD11" s="1141"/>
      <c r="AE11" s="1141"/>
      <c r="AF11" s="1141"/>
      <c r="AG11" s="1141"/>
      <c r="AH11" s="1141"/>
      <c r="AI11" s="1141"/>
      <c r="AJ11" s="1141"/>
      <c r="AK11" s="1141"/>
      <c r="AL11" s="1141"/>
      <c r="AM11" s="1141"/>
      <c r="AN11" s="1141"/>
      <c r="AO11" s="1141"/>
      <c r="AP11" s="1141"/>
      <c r="AQ11" s="1141"/>
      <c r="AR11" s="1141"/>
      <c r="AS11" s="1141"/>
      <c r="AT11" s="1141"/>
      <c r="AU11" s="1141"/>
      <c r="AV11" s="1141"/>
      <c r="AW11" s="1141"/>
      <c r="AX11" s="1141"/>
      <c r="AY11" s="1141"/>
      <c r="AZ11" s="1141"/>
      <c r="BA11" s="1141"/>
      <c r="BB11" s="1141"/>
      <c r="BC11" s="1141"/>
      <c r="BD11" s="1141"/>
      <c r="BE11" s="1141"/>
      <c r="BF11" s="1141"/>
      <c r="BG11" s="1141"/>
      <c r="BH11" s="1141"/>
      <c r="BI11" s="1141"/>
      <c r="BJ11" s="1141"/>
      <c r="BK11" s="1141"/>
      <c r="BL11" s="1141"/>
      <c r="BM11" s="1141"/>
      <c r="BN11" s="1141"/>
      <c r="BO11" s="1141"/>
      <c r="BP11" s="1141"/>
      <c r="BQ11" s="1141"/>
      <c r="BR11" s="1141"/>
      <c r="BS11" s="1141"/>
      <c r="BT11" s="1141"/>
      <c r="BU11" s="1141"/>
      <c r="BV11" s="1141"/>
      <c r="BW11" s="1141"/>
      <c r="BX11" s="1141"/>
      <c r="BY11" s="1141"/>
      <c r="BZ11" s="1141"/>
      <c r="CA11" s="1141"/>
      <c r="CB11" s="1141"/>
      <c r="CC11" s="1141"/>
      <c r="CD11" s="1141"/>
      <c r="CE11" s="1141"/>
      <c r="CF11" s="1141"/>
      <c r="CG11" s="1141"/>
      <c r="CH11" s="1141"/>
      <c r="CI11" s="1141"/>
      <c r="CJ11" s="1141"/>
      <c r="CK11" s="1141"/>
      <c r="CL11" s="1141"/>
      <c r="CM11" s="1141"/>
      <c r="CN11" s="1141"/>
      <c r="CO11" s="1141"/>
      <c r="CP11" s="1141"/>
    </row>
    <row r="12" spans="1:94" s="56" customFormat="1">
      <c r="A12" s="1146"/>
      <c r="B12" s="1919" t="s">
        <v>297</v>
      </c>
      <c r="C12" s="1919"/>
      <c r="D12" s="1147">
        <f>SUM(D3:D11)</f>
        <v>0</v>
      </c>
      <c r="E12" s="1148"/>
      <c r="F12" s="1149"/>
      <c r="G12" s="1147">
        <f>IF(Deal_Overview!$P$28=0,0,D12/Deal_Overview!$P$28)</f>
        <v>0</v>
      </c>
      <c r="H12" s="1150"/>
      <c r="I12" s="1151">
        <f t="shared" ref="I12:N12" si="5">SUM(I3:I11)</f>
        <v>0</v>
      </c>
      <c r="J12" s="1149">
        <f t="shared" si="5"/>
        <v>0</v>
      </c>
      <c r="K12" s="1152">
        <f t="shared" si="5"/>
        <v>0</v>
      </c>
      <c r="L12" s="1149">
        <f t="shared" si="5"/>
        <v>0</v>
      </c>
      <c r="M12" s="1149">
        <f t="shared" si="5"/>
        <v>0</v>
      </c>
      <c r="N12" s="1149">
        <f t="shared" si="5"/>
        <v>0</v>
      </c>
      <c r="O12" s="1153"/>
      <c r="P12" s="1149">
        <f>SUM(P3:P11)</f>
        <v>0</v>
      </c>
      <c r="Q12" s="1149">
        <f>SUM(Q3:Q11)</f>
        <v>0</v>
      </c>
      <c r="R12" s="1149">
        <f>SUM(R3:R11)</f>
        <v>0</v>
      </c>
      <c r="S12" s="1154"/>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row>
    <row r="13" spans="1:94">
      <c r="A13" s="1127">
        <v>10</v>
      </c>
      <c r="B13" s="1128"/>
      <c r="C13" s="1083" t="s">
        <v>298</v>
      </c>
      <c r="D13" s="1143">
        <f>ROUND(IF(F13=Lists!$D$5,E13,IF(F13=Lists!$D$6,E13*'Units&amp;Income'!$AV$94,IF(F13=Lists!$D$7,DevCosts!E13*Setup!$D$37,IF(F13=Lists!$D$8,E13*Setup!$D$38,IF(F13=Lists!$D$9,DevCosts!E13*DevCosts!$D$13,0))))),0)</f>
        <v>0</v>
      </c>
      <c r="E13" s="1130">
        <v>0</v>
      </c>
      <c r="F13" s="1131" t="s">
        <v>273</v>
      </c>
      <c r="G13" s="1132">
        <f>IF(Deal_Overview!$P$28=0,0,D13/Deal_Overview!$P$28)</f>
        <v>0</v>
      </c>
      <c r="H13" s="1133"/>
      <c r="I13" s="1134">
        <f>$D13*0.95</f>
        <v>0</v>
      </c>
      <c r="J13" s="1135">
        <f>$D13*0.05</f>
        <v>0</v>
      </c>
      <c r="K13" s="1136">
        <f>$D13*0</f>
        <v>0</v>
      </c>
      <c r="L13" s="1135">
        <f>SUM(I13:K13)*Setup!$L$3</f>
        <v>0</v>
      </c>
      <c r="M13" s="1135">
        <f>I13*Setup!$L$19</f>
        <v>0</v>
      </c>
      <c r="N13" s="1138">
        <f t="shared" ref="N13:N18" si="6">D13-SUM(I13:K13)</f>
        <v>0</v>
      </c>
      <c r="O13" s="1139"/>
      <c r="P13" s="1137"/>
      <c r="Q13" s="1135">
        <f t="shared" ref="Q13:Q79" si="7">SUM(I13:K13)-L13-P13</f>
        <v>0</v>
      </c>
      <c r="R13" s="1155">
        <f t="shared" ref="R13:R77" si="8">I13</f>
        <v>0</v>
      </c>
      <c r="S13" s="1140">
        <f t="shared" ref="S13:S18" si="9">IF(SUM(I13:K13)&gt;0,(L13/SUM(I13:K13))*I13,0)</f>
        <v>0</v>
      </c>
      <c r="T13" s="1141">
        <f>IF(S13&gt;M13,0,(M13-S13)*Setup!$L$22)</f>
        <v>0</v>
      </c>
      <c r="U13" s="1141"/>
      <c r="V13" s="1141"/>
      <c r="W13" s="1141"/>
      <c r="X13" s="1141"/>
      <c r="Y13" s="1141"/>
      <c r="Z13" s="1141"/>
      <c r="AA13" s="1141"/>
      <c r="AB13" s="1141"/>
      <c r="AC13" s="1141"/>
      <c r="AD13" s="1141"/>
      <c r="AE13" s="1141"/>
      <c r="AF13" s="1141"/>
      <c r="AG13" s="1141"/>
      <c r="AH13" s="1141"/>
      <c r="AI13" s="1141"/>
      <c r="AJ13" s="1141"/>
      <c r="AK13" s="1141"/>
      <c r="AL13" s="1141"/>
      <c r="AM13" s="1141"/>
      <c r="AN13" s="1141"/>
      <c r="AO13" s="1141"/>
      <c r="AP13" s="1141"/>
      <c r="AQ13" s="1141"/>
      <c r="AR13" s="1141"/>
      <c r="AS13" s="1141"/>
      <c r="AT13" s="1141"/>
      <c r="AU13" s="1141"/>
      <c r="AV13" s="1141"/>
      <c r="AW13" s="1141"/>
      <c r="AX13" s="1141"/>
      <c r="AY13" s="1141"/>
      <c r="AZ13" s="1141"/>
      <c r="BA13" s="1141"/>
      <c r="BB13" s="1141"/>
      <c r="BC13" s="1141"/>
      <c r="BD13" s="1141"/>
      <c r="BE13" s="1141"/>
      <c r="BF13" s="1141"/>
      <c r="BG13" s="1141"/>
      <c r="BH13" s="1141"/>
      <c r="BI13" s="1141"/>
      <c r="BJ13" s="1141"/>
      <c r="BK13" s="1141"/>
      <c r="BL13" s="1141"/>
      <c r="BM13" s="1141"/>
      <c r="BN13" s="1141"/>
      <c r="BO13" s="1141"/>
      <c r="BP13" s="1141"/>
      <c r="BQ13" s="1141"/>
      <c r="BR13" s="1141"/>
      <c r="BS13" s="1141"/>
      <c r="BT13" s="1141"/>
      <c r="BU13" s="1141"/>
      <c r="BV13" s="1141"/>
      <c r="BW13" s="1141"/>
      <c r="BX13" s="1141"/>
      <c r="BY13" s="1141"/>
      <c r="BZ13" s="1141"/>
      <c r="CA13" s="1141"/>
      <c r="CB13" s="1141"/>
      <c r="CC13" s="1141"/>
      <c r="CD13" s="1141"/>
      <c r="CE13" s="1141"/>
      <c r="CF13" s="1141"/>
      <c r="CG13" s="1141"/>
      <c r="CH13" s="1141"/>
      <c r="CI13" s="1141"/>
      <c r="CJ13" s="1141"/>
      <c r="CK13" s="1141"/>
      <c r="CL13" s="1141"/>
      <c r="CM13" s="1141"/>
      <c r="CN13" s="1141"/>
      <c r="CO13" s="1141"/>
      <c r="CP13" s="1141"/>
    </row>
    <row r="14" spans="1:94">
      <c r="A14" s="1127">
        <v>11</v>
      </c>
      <c r="B14" s="1128"/>
      <c r="C14" s="1083" t="s">
        <v>299</v>
      </c>
      <c r="D14" s="1143">
        <f>ROUND(IF(F14=Lists!$D$5,E14,IF(F14=Lists!$D$6,E14*'Units&amp;Income'!$AV$94,IF(F14=Lists!$D$7,DevCosts!E14*Setup!$D$37,IF(F14=Lists!$D$8,E14*Setup!$D$38,IF(F14=Lists!$D$9,DevCosts!E14*DevCosts!$D$13,0))))),0)</f>
        <v>0</v>
      </c>
      <c r="E14" s="1130">
        <v>0</v>
      </c>
      <c r="F14" s="1131" t="s">
        <v>273</v>
      </c>
      <c r="G14" s="1132">
        <f>IF(Deal_Overview!$P$28=0,0,D14/Deal_Overview!$P$28)</f>
        <v>0</v>
      </c>
      <c r="H14" s="1133"/>
      <c r="I14" s="1134">
        <f>$D14*1</f>
        <v>0</v>
      </c>
      <c r="J14" s="1135">
        <f>D14*0</f>
        <v>0</v>
      </c>
      <c r="K14" s="1136">
        <f>D14*0</f>
        <v>0</v>
      </c>
      <c r="L14" s="1135">
        <f>SUM(I14:K14)*Setup!$L$3</f>
        <v>0</v>
      </c>
      <c r="M14" s="1135">
        <f>I14*Setup!$L$19</f>
        <v>0</v>
      </c>
      <c r="N14" s="1138">
        <f t="shared" si="6"/>
        <v>0</v>
      </c>
      <c r="O14" s="1139"/>
      <c r="P14" s="1137"/>
      <c r="Q14" s="1135">
        <f t="shared" si="7"/>
        <v>0</v>
      </c>
      <c r="R14" s="1155">
        <f t="shared" si="8"/>
        <v>0</v>
      </c>
      <c r="S14" s="1140">
        <f t="shared" si="9"/>
        <v>0</v>
      </c>
      <c r="T14" s="1141">
        <f>IF(S14&gt;M14,0,(M14-S14)*Setup!$L$22)</f>
        <v>0</v>
      </c>
      <c r="U14" s="1141"/>
      <c r="V14" s="1141"/>
      <c r="W14" s="1141"/>
      <c r="X14" s="1141"/>
      <c r="Y14" s="1141"/>
      <c r="Z14" s="1141"/>
      <c r="AA14" s="1141"/>
      <c r="AB14" s="1141"/>
      <c r="AC14" s="1141"/>
      <c r="AD14" s="1141"/>
      <c r="AE14" s="1141"/>
      <c r="AF14" s="1141"/>
      <c r="AG14" s="1141"/>
      <c r="AH14" s="1141"/>
      <c r="AI14" s="1141"/>
      <c r="AJ14" s="1141"/>
      <c r="AK14" s="1141"/>
      <c r="AL14" s="1141"/>
      <c r="AM14" s="1141"/>
      <c r="AN14" s="1141"/>
      <c r="AO14" s="1141"/>
      <c r="AP14" s="1141"/>
      <c r="AQ14" s="1141"/>
      <c r="AR14" s="1141"/>
      <c r="AS14" s="1141"/>
      <c r="AT14" s="1141"/>
      <c r="AU14" s="1141"/>
      <c r="AV14" s="1141"/>
      <c r="AW14" s="1141"/>
      <c r="AX14" s="1141"/>
      <c r="AY14" s="1141"/>
      <c r="AZ14" s="1141"/>
      <c r="BA14" s="1141"/>
      <c r="BB14" s="1141"/>
      <c r="BC14" s="1141"/>
      <c r="BD14" s="1141"/>
      <c r="BE14" s="1141"/>
      <c r="BF14" s="1141"/>
      <c r="BG14" s="1141"/>
      <c r="BH14" s="1141"/>
      <c r="BI14" s="1141"/>
      <c r="BJ14" s="1141"/>
      <c r="BK14" s="1141"/>
      <c r="BL14" s="1141"/>
      <c r="BM14" s="1141"/>
      <c r="BN14" s="1141"/>
      <c r="BO14" s="1141"/>
      <c r="BP14" s="1141"/>
      <c r="BQ14" s="1141"/>
      <c r="BR14" s="1141"/>
      <c r="BS14" s="1141"/>
      <c r="BT14" s="1141"/>
      <c r="BU14" s="1141"/>
      <c r="BV14" s="1141"/>
      <c r="BW14" s="1141"/>
      <c r="BX14" s="1141"/>
      <c r="BY14" s="1141"/>
      <c r="BZ14" s="1141"/>
      <c r="CA14" s="1141"/>
      <c r="CB14" s="1141"/>
      <c r="CC14" s="1141"/>
      <c r="CD14" s="1141"/>
      <c r="CE14" s="1141"/>
      <c r="CF14" s="1141"/>
      <c r="CG14" s="1141"/>
      <c r="CH14" s="1141"/>
      <c r="CI14" s="1141"/>
      <c r="CJ14" s="1141"/>
      <c r="CK14" s="1141"/>
      <c r="CL14" s="1141"/>
      <c r="CM14" s="1141"/>
      <c r="CN14" s="1141"/>
      <c r="CO14" s="1141"/>
      <c r="CP14" s="1141"/>
    </row>
    <row r="15" spans="1:94">
      <c r="A15" s="1127">
        <v>12</v>
      </c>
      <c r="B15" s="1128"/>
      <c r="C15" s="1083" t="s">
        <v>300</v>
      </c>
      <c r="D15" s="1143">
        <f>ROUND(IF(F15=Lists!$D$5,E15,IF(F15=Lists!$D$6,E15*'Units&amp;Income'!$AV$94,IF(F15=Lists!$D$7,DevCosts!E15*Setup!$D$37,IF(F15=Lists!$D$8,E15*Setup!$D$38,IF(F15=Lists!$D$9,DevCosts!E15*DevCosts!$D$13,0))))),0)</f>
        <v>0</v>
      </c>
      <c r="E15" s="1130">
        <v>0</v>
      </c>
      <c r="F15" s="1131" t="s">
        <v>273</v>
      </c>
      <c r="G15" s="1132">
        <f>IF(Deal_Overview!$P$28=0,0,D15/Deal_Overview!$P$28)</f>
        <v>0</v>
      </c>
      <c r="H15" s="1133"/>
      <c r="I15" s="1134">
        <f>$D15*1</f>
        <v>0</v>
      </c>
      <c r="J15" s="1135">
        <f>D15*0</f>
        <v>0</v>
      </c>
      <c r="K15" s="1136">
        <f>D15*0</f>
        <v>0</v>
      </c>
      <c r="L15" s="1135">
        <f>SUM(I15:K15)*Setup!$L$3</f>
        <v>0</v>
      </c>
      <c r="M15" s="1135">
        <f>I15*Setup!$L$19</f>
        <v>0</v>
      </c>
      <c r="N15" s="1138">
        <f t="shared" si="6"/>
        <v>0</v>
      </c>
      <c r="O15" s="1139"/>
      <c r="P15" s="1137"/>
      <c r="Q15" s="1135">
        <f t="shared" si="7"/>
        <v>0</v>
      </c>
      <c r="R15" s="1155">
        <f t="shared" si="8"/>
        <v>0</v>
      </c>
      <c r="S15" s="1140">
        <f t="shared" si="9"/>
        <v>0</v>
      </c>
      <c r="T15" s="1141">
        <f>IF(S15&gt;M15,0,(M15-S15)*Setup!$L$22)</f>
        <v>0</v>
      </c>
      <c r="U15" s="1141"/>
      <c r="V15" s="1141"/>
      <c r="W15" s="1141"/>
      <c r="X15" s="1141"/>
      <c r="Y15" s="1141"/>
      <c r="Z15" s="1141"/>
      <c r="AA15" s="1141"/>
      <c r="AB15" s="1141"/>
      <c r="AC15" s="1141"/>
      <c r="AD15" s="1141"/>
      <c r="AE15" s="1141"/>
      <c r="AF15" s="1141"/>
      <c r="AG15" s="1141"/>
      <c r="AH15" s="1141"/>
      <c r="AI15" s="1141"/>
      <c r="AJ15" s="1141"/>
      <c r="AK15" s="1141"/>
      <c r="AL15" s="1141"/>
      <c r="AM15" s="1141"/>
      <c r="AN15" s="1141"/>
      <c r="AO15" s="1141"/>
      <c r="AP15" s="1141"/>
      <c r="AQ15" s="1141"/>
      <c r="AR15" s="1141"/>
      <c r="AS15" s="1141"/>
      <c r="AT15" s="1141"/>
      <c r="AU15" s="1141"/>
      <c r="AV15" s="1141"/>
      <c r="AW15" s="1141"/>
      <c r="AX15" s="1141"/>
      <c r="AY15" s="1141"/>
      <c r="AZ15" s="1141"/>
      <c r="BA15" s="1141"/>
      <c r="BB15" s="1141"/>
      <c r="BC15" s="1141"/>
      <c r="BD15" s="1141"/>
      <c r="BE15" s="1141"/>
      <c r="BF15" s="1141"/>
      <c r="BG15" s="1141"/>
      <c r="BH15" s="1141"/>
      <c r="BI15" s="1141"/>
      <c r="BJ15" s="1141"/>
      <c r="BK15" s="1141"/>
      <c r="BL15" s="1141"/>
      <c r="BM15" s="1141"/>
      <c r="BN15" s="1141"/>
      <c r="BO15" s="1141"/>
      <c r="BP15" s="1141"/>
      <c r="BQ15" s="1141"/>
      <c r="BR15" s="1141"/>
      <c r="BS15" s="1141"/>
      <c r="BT15" s="1141"/>
      <c r="BU15" s="1141"/>
      <c r="BV15" s="1141"/>
      <c r="BW15" s="1141"/>
      <c r="BX15" s="1141"/>
      <c r="BY15" s="1141"/>
      <c r="BZ15" s="1141"/>
      <c r="CA15" s="1141"/>
      <c r="CB15" s="1141"/>
      <c r="CC15" s="1141"/>
      <c r="CD15" s="1141"/>
      <c r="CE15" s="1141"/>
      <c r="CF15" s="1141"/>
      <c r="CG15" s="1141"/>
      <c r="CH15" s="1141"/>
      <c r="CI15" s="1141"/>
      <c r="CJ15" s="1141"/>
      <c r="CK15" s="1141"/>
      <c r="CL15" s="1141"/>
      <c r="CM15" s="1141"/>
      <c r="CN15" s="1141"/>
      <c r="CO15" s="1141"/>
      <c r="CP15" s="1141"/>
    </row>
    <row r="16" spans="1:94">
      <c r="A16" s="1127">
        <v>13</v>
      </c>
      <c r="B16" s="1128"/>
      <c r="C16" s="1128" t="s">
        <v>301</v>
      </c>
      <c r="D16" s="1143">
        <f>ROUND(IF(F16=Lists!$D$5,E16,IF(F16=Lists!$D$6,E16*'Units&amp;Income'!$AV$94,IF(F16=Lists!$D$7,DevCosts!E16*Setup!$D$37,IF(F16=Lists!$D$8,E16*Setup!$D$38,IF(F16=Lists!$D$9,DevCosts!E16*SUM($D$13:$D$15),0))))),0)</f>
        <v>0</v>
      </c>
      <c r="E16" s="1145">
        <v>0.06</v>
      </c>
      <c r="F16" s="1156" t="s">
        <v>302</v>
      </c>
      <c r="G16" s="1132">
        <f>IF(Deal_Overview!$P$28=0,0,D16/Deal_Overview!$P$28)</f>
        <v>0</v>
      </c>
      <c r="H16" s="1133"/>
      <c r="I16" s="1134">
        <f>$D16*1</f>
        <v>0</v>
      </c>
      <c r="J16" s="1135">
        <f>D16*0</f>
        <v>0</v>
      </c>
      <c r="K16" s="1136">
        <f>D16*0</f>
        <v>0</v>
      </c>
      <c r="L16" s="1135">
        <f>SUM(I16:K16)*Setup!$L$3</f>
        <v>0</v>
      </c>
      <c r="M16" s="1135">
        <f>I16*Setup!$L$19</f>
        <v>0</v>
      </c>
      <c r="N16" s="1138">
        <f t="shared" si="6"/>
        <v>0</v>
      </c>
      <c r="O16" s="1139"/>
      <c r="P16" s="1137"/>
      <c r="Q16" s="1135">
        <f t="shared" si="7"/>
        <v>0</v>
      </c>
      <c r="R16" s="1155">
        <f t="shared" si="8"/>
        <v>0</v>
      </c>
      <c r="S16" s="1140">
        <f t="shared" si="9"/>
        <v>0</v>
      </c>
      <c r="T16" s="1141">
        <f>IF(S16&gt;M16,0,(M16-S16)*Setup!$L$22)</f>
        <v>0</v>
      </c>
      <c r="U16" s="1141"/>
      <c r="V16" s="1141"/>
      <c r="W16" s="1141"/>
      <c r="X16" s="1141"/>
      <c r="Y16" s="1141"/>
      <c r="Z16" s="1141"/>
      <c r="AA16" s="1141"/>
      <c r="AB16" s="1141"/>
      <c r="AC16" s="1141"/>
      <c r="AD16" s="1141"/>
      <c r="AE16" s="1141"/>
      <c r="AF16" s="1141"/>
      <c r="AG16" s="1141"/>
      <c r="AH16" s="1141"/>
      <c r="AI16" s="1141"/>
      <c r="AJ16" s="1141"/>
      <c r="AK16" s="1141"/>
      <c r="AL16" s="1141"/>
      <c r="AM16" s="1141"/>
      <c r="AN16" s="1141"/>
      <c r="AO16" s="1141"/>
      <c r="AP16" s="1141"/>
      <c r="AQ16" s="1141"/>
      <c r="AR16" s="1141"/>
      <c r="AS16" s="1141"/>
      <c r="AT16" s="1141"/>
      <c r="AU16" s="1141"/>
      <c r="AV16" s="1141"/>
      <c r="AW16" s="1141"/>
      <c r="AX16" s="1141"/>
      <c r="AY16" s="1141"/>
      <c r="AZ16" s="1141"/>
      <c r="BA16" s="1141"/>
      <c r="BB16" s="1141"/>
      <c r="BC16" s="1141"/>
      <c r="BD16" s="1141"/>
      <c r="BE16" s="1141"/>
      <c r="BF16" s="1141"/>
      <c r="BG16" s="1141"/>
      <c r="BH16" s="1141"/>
      <c r="BI16" s="1141"/>
      <c r="BJ16" s="1141"/>
      <c r="BK16" s="1141"/>
      <c r="BL16" s="1141"/>
      <c r="BM16" s="1141"/>
      <c r="BN16" s="1141"/>
      <c r="BO16" s="1141"/>
      <c r="BP16" s="1141"/>
      <c r="BQ16" s="1141"/>
      <c r="BR16" s="1141"/>
      <c r="BS16" s="1141"/>
      <c r="BT16" s="1141"/>
      <c r="BU16" s="1141"/>
      <c r="BV16" s="1141"/>
      <c r="BW16" s="1141"/>
      <c r="BX16" s="1141"/>
      <c r="BY16" s="1141"/>
      <c r="BZ16" s="1141"/>
      <c r="CA16" s="1141"/>
      <c r="CB16" s="1141"/>
      <c r="CC16" s="1141"/>
      <c r="CD16" s="1141"/>
      <c r="CE16" s="1141"/>
      <c r="CF16" s="1141"/>
      <c r="CG16" s="1141"/>
      <c r="CH16" s="1141"/>
      <c r="CI16" s="1141"/>
      <c r="CJ16" s="1141"/>
      <c r="CK16" s="1141"/>
      <c r="CL16" s="1141"/>
      <c r="CM16" s="1141"/>
      <c r="CN16" s="1141"/>
      <c r="CO16" s="1141"/>
      <c r="CP16" s="1141"/>
    </row>
    <row r="17" spans="1:94">
      <c r="A17" s="1127">
        <v>14</v>
      </c>
      <c r="B17" s="1128"/>
      <c r="C17" s="1083" t="s">
        <v>303</v>
      </c>
      <c r="D17" s="1143">
        <f>ROUND(IF(F17=Lists!$D$5,E17,IF(F17=Lists!$D$6,E17*'Units&amp;Income'!$AV$94,IF(F17=Lists!$D$7,DevCosts!E17*Setup!$D$37,IF(F17=Lists!$D$8,E17*Setup!$D$38,IF(F17=Lists!$D$9,DevCosts!E17*SUM($D$13:$D$15),0))))),0)</f>
        <v>0</v>
      </c>
      <c r="E17" s="1145">
        <v>0.02</v>
      </c>
      <c r="F17" s="1156" t="s">
        <v>302</v>
      </c>
      <c r="G17" s="1132">
        <f>IF(Deal_Overview!$P$28=0,0,D17/Deal_Overview!$P$28)</f>
        <v>0</v>
      </c>
      <c r="H17" s="1133"/>
      <c r="I17" s="1134">
        <f>$D17*1</f>
        <v>0</v>
      </c>
      <c r="J17" s="1135">
        <f>D17*0</f>
        <v>0</v>
      </c>
      <c r="K17" s="1136">
        <f>D17*0</f>
        <v>0</v>
      </c>
      <c r="L17" s="1135">
        <f>SUM(I17:K17)*Setup!$L$3</f>
        <v>0</v>
      </c>
      <c r="M17" s="1135">
        <f>I17*Setup!$L$19</f>
        <v>0</v>
      </c>
      <c r="N17" s="1138">
        <f t="shared" si="6"/>
        <v>0</v>
      </c>
      <c r="O17" s="1139"/>
      <c r="P17" s="1137"/>
      <c r="Q17" s="1135">
        <f t="shared" si="7"/>
        <v>0</v>
      </c>
      <c r="R17" s="1155">
        <f t="shared" si="8"/>
        <v>0</v>
      </c>
      <c r="S17" s="1140">
        <f t="shared" si="9"/>
        <v>0</v>
      </c>
      <c r="T17" s="1141">
        <f>IF(S17&gt;M17,0,(M17-S17)*Setup!$L$22)</f>
        <v>0</v>
      </c>
      <c r="U17" s="1141"/>
      <c r="V17" s="1141"/>
      <c r="W17" s="1141"/>
      <c r="X17" s="1141"/>
      <c r="Y17" s="1141"/>
      <c r="Z17" s="1141"/>
      <c r="AA17" s="1141"/>
      <c r="AB17" s="1141"/>
      <c r="AC17" s="1141"/>
      <c r="AD17" s="1141"/>
      <c r="AE17" s="1141"/>
      <c r="AF17" s="1141"/>
      <c r="AG17" s="1141"/>
      <c r="AH17" s="1141"/>
      <c r="AI17" s="1141"/>
      <c r="AJ17" s="1141"/>
      <c r="AK17" s="1141"/>
      <c r="AL17" s="1141"/>
      <c r="AM17" s="1141"/>
      <c r="AN17" s="1141"/>
      <c r="AO17" s="1141"/>
      <c r="AP17" s="1141"/>
      <c r="AQ17" s="1141"/>
      <c r="AR17" s="1141"/>
      <c r="AS17" s="1141"/>
      <c r="AT17" s="1141"/>
      <c r="AU17" s="1141"/>
      <c r="AV17" s="1141"/>
      <c r="AW17" s="1141"/>
      <c r="AX17" s="1141"/>
      <c r="AY17" s="1141"/>
      <c r="AZ17" s="1141"/>
      <c r="BA17" s="1141"/>
      <c r="BB17" s="1141"/>
      <c r="BC17" s="1141"/>
      <c r="BD17" s="1141"/>
      <c r="BE17" s="1141"/>
      <c r="BF17" s="1141"/>
      <c r="BG17" s="1141"/>
      <c r="BH17" s="1141"/>
      <c r="BI17" s="1141"/>
      <c r="BJ17" s="1141"/>
      <c r="BK17" s="1141"/>
      <c r="BL17" s="1141"/>
      <c r="BM17" s="1141"/>
      <c r="BN17" s="1141"/>
      <c r="BO17" s="1141"/>
      <c r="BP17" s="1141"/>
      <c r="BQ17" s="1141"/>
      <c r="BR17" s="1141"/>
      <c r="BS17" s="1141"/>
      <c r="BT17" s="1141"/>
      <c r="BU17" s="1141"/>
      <c r="BV17" s="1141"/>
      <c r="BW17" s="1141"/>
      <c r="BX17" s="1141"/>
      <c r="BY17" s="1141"/>
      <c r="BZ17" s="1141"/>
      <c r="CA17" s="1141"/>
      <c r="CB17" s="1141"/>
      <c r="CC17" s="1141"/>
      <c r="CD17" s="1141"/>
      <c r="CE17" s="1141"/>
      <c r="CF17" s="1141"/>
      <c r="CG17" s="1141"/>
      <c r="CH17" s="1141"/>
      <c r="CI17" s="1141"/>
      <c r="CJ17" s="1141"/>
      <c r="CK17" s="1141"/>
      <c r="CL17" s="1141"/>
      <c r="CM17" s="1141"/>
      <c r="CN17" s="1141"/>
      <c r="CO17" s="1141"/>
      <c r="CP17" s="1141"/>
    </row>
    <row r="18" spans="1:94">
      <c r="A18" s="1127">
        <v>15</v>
      </c>
      <c r="B18" s="1128"/>
      <c r="C18" s="1083" t="s">
        <v>304</v>
      </c>
      <c r="D18" s="1143">
        <f>ROUND(IF(F18=Lists!$D$5,E18,IF(F18=Lists!$D$6,E18*'Units&amp;Income'!$AV$94,IF(F18=Lists!$D$7,DevCosts!E18*Setup!$D$37,IF(F18=Lists!$D$8,E18*Setup!$D$38,IF(F18=Lists!$D$9,DevCosts!E18*SUM($D$13:$D$15),0))))),0)</f>
        <v>0</v>
      </c>
      <c r="E18" s="1145">
        <v>0.06</v>
      </c>
      <c r="F18" s="1156" t="s">
        <v>302</v>
      </c>
      <c r="G18" s="1132">
        <f>IF(Deal_Overview!$P$28=0,0,D18/Deal_Overview!$P$28)</f>
        <v>0</v>
      </c>
      <c r="H18" s="1133"/>
      <c r="I18" s="1134">
        <f>$D18*1</f>
        <v>0</v>
      </c>
      <c r="J18" s="1135">
        <f>D18*0</f>
        <v>0</v>
      </c>
      <c r="K18" s="1136">
        <f>D18*0</f>
        <v>0</v>
      </c>
      <c r="L18" s="1135">
        <f>SUM(I18:K18)*Setup!$L$3</f>
        <v>0</v>
      </c>
      <c r="M18" s="1135">
        <f>I18*Setup!$L$19</f>
        <v>0</v>
      </c>
      <c r="N18" s="1138">
        <f t="shared" si="6"/>
        <v>0</v>
      </c>
      <c r="O18" s="1139"/>
      <c r="P18" s="1137"/>
      <c r="Q18" s="1135">
        <f t="shared" si="7"/>
        <v>0</v>
      </c>
      <c r="R18" s="1155">
        <f t="shared" si="8"/>
        <v>0</v>
      </c>
      <c r="S18" s="1140">
        <f t="shared" si="9"/>
        <v>0</v>
      </c>
      <c r="T18" s="1141">
        <f>IF(S18&gt;M18,0,(M18-S18)*Setup!$L$22)</f>
        <v>0</v>
      </c>
      <c r="U18" s="1141"/>
      <c r="V18" s="1141"/>
      <c r="W18" s="1141"/>
      <c r="X18" s="1141"/>
      <c r="Y18" s="1141"/>
      <c r="Z18" s="1141"/>
      <c r="AA18" s="1141"/>
      <c r="AB18" s="1141"/>
      <c r="AC18" s="1141"/>
      <c r="AD18" s="1141"/>
      <c r="AE18" s="1141"/>
      <c r="AF18" s="1141"/>
      <c r="AG18" s="1141"/>
      <c r="AH18" s="1141"/>
      <c r="AI18" s="1141"/>
      <c r="AJ18" s="1141"/>
      <c r="AK18" s="1141"/>
      <c r="AL18" s="1141"/>
      <c r="AM18" s="1141"/>
      <c r="AN18" s="1141"/>
      <c r="AO18" s="1141"/>
      <c r="AP18" s="1141"/>
      <c r="AQ18" s="1141"/>
      <c r="AR18" s="1141"/>
      <c r="AS18" s="1141"/>
      <c r="AT18" s="1141"/>
      <c r="AU18" s="1141"/>
      <c r="AV18" s="1141"/>
      <c r="AW18" s="1141"/>
      <c r="AX18" s="1141"/>
      <c r="AY18" s="1141"/>
      <c r="AZ18" s="1141"/>
      <c r="BA18" s="1141"/>
      <c r="BB18" s="1141"/>
      <c r="BC18" s="1141"/>
      <c r="BD18" s="1141"/>
      <c r="BE18" s="1141"/>
      <c r="BF18" s="1141"/>
      <c r="BG18" s="1141"/>
      <c r="BH18" s="1141"/>
      <c r="BI18" s="1141"/>
      <c r="BJ18" s="1141"/>
      <c r="BK18" s="1141"/>
      <c r="BL18" s="1141"/>
      <c r="BM18" s="1141"/>
      <c r="BN18" s="1141"/>
      <c r="BO18" s="1141"/>
      <c r="BP18" s="1141"/>
      <c r="BQ18" s="1141"/>
      <c r="BR18" s="1141"/>
      <c r="BS18" s="1141"/>
      <c r="BT18" s="1141"/>
      <c r="BU18" s="1141"/>
      <c r="BV18" s="1141"/>
      <c r="BW18" s="1141"/>
      <c r="BX18" s="1141"/>
      <c r="BY18" s="1141"/>
      <c r="BZ18" s="1141"/>
      <c r="CA18" s="1141"/>
      <c r="CB18" s="1141"/>
      <c r="CC18" s="1141"/>
      <c r="CD18" s="1141"/>
      <c r="CE18" s="1141"/>
      <c r="CF18" s="1141"/>
      <c r="CG18" s="1141"/>
      <c r="CH18" s="1141"/>
      <c r="CI18" s="1141"/>
      <c r="CJ18" s="1141"/>
      <c r="CK18" s="1141"/>
      <c r="CL18" s="1141"/>
      <c r="CM18" s="1141"/>
      <c r="CN18" s="1141"/>
      <c r="CO18" s="1141"/>
      <c r="CP18" s="1141"/>
    </row>
    <row r="19" spans="1:94" s="56" customFormat="1">
      <c r="A19" s="1146"/>
      <c r="B19" s="1919" t="s">
        <v>305</v>
      </c>
      <c r="C19" s="1919"/>
      <c r="D19" s="1147">
        <f>SUM(D13:D18)</f>
        <v>0</v>
      </c>
      <c r="E19" s="1148"/>
      <c r="F19" s="1149"/>
      <c r="G19" s="1147">
        <f>IF(Deal_Overview!$P$28=0,0,D19/Deal_Overview!$P$28)</f>
        <v>0</v>
      </c>
      <c r="H19" s="1150"/>
      <c r="I19" s="1157">
        <f t="shared" ref="I19:N19" si="10">SUM(I13:I18)</f>
        <v>0</v>
      </c>
      <c r="J19" s="1158">
        <f t="shared" si="10"/>
        <v>0</v>
      </c>
      <c r="K19" s="1147">
        <f t="shared" si="10"/>
        <v>0</v>
      </c>
      <c r="L19" s="1158">
        <f t="shared" si="10"/>
        <v>0</v>
      </c>
      <c r="M19" s="1158">
        <f t="shared" si="10"/>
        <v>0</v>
      </c>
      <c r="N19" s="1158">
        <f t="shared" si="10"/>
        <v>0</v>
      </c>
      <c r="O19" s="1153"/>
      <c r="P19" s="1149"/>
      <c r="Q19" s="1158">
        <f>SUM(Q13:Q18)</f>
        <v>0</v>
      </c>
      <c r="R19" s="1149">
        <f>I19-M19</f>
        <v>0</v>
      </c>
      <c r="S19" s="1154"/>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row>
    <row r="20" spans="1:94">
      <c r="A20" s="1127">
        <v>16</v>
      </c>
      <c r="B20" s="1128"/>
      <c r="C20" s="1083" t="s">
        <v>306</v>
      </c>
      <c r="D20" s="1143">
        <f>ROUND(IF(F20=Lists!$D$5,E20,IF(F20=Lists!$D$6,E20*'Units&amp;Income'!$AV$94,IF(F20=Lists!$D$7,DevCosts!E20*Setup!$D$37,IF(F20=Lists!$D$8,E20*Setup!$D$38,IF(F20=Lists!$D$9,DevCosts!E20*SUM($D$13:$D$15),0))))),0)</f>
        <v>0</v>
      </c>
      <c r="E20" s="1130">
        <v>0</v>
      </c>
      <c r="F20" s="1131" t="s">
        <v>273</v>
      </c>
      <c r="G20" s="1132">
        <f>IF(Deal_Overview!$P$28=0,0,D20/Deal_Overview!$P$28)</f>
        <v>0</v>
      </c>
      <c r="H20" s="1133"/>
      <c r="I20" s="1134">
        <f>$D20*0</f>
        <v>0</v>
      </c>
      <c r="J20" s="1135">
        <f>$D20*1</f>
        <v>0</v>
      </c>
      <c r="K20" s="1136">
        <f>$D20*0</f>
        <v>0</v>
      </c>
      <c r="L20" s="1135">
        <f>SUM(I20:K20)*Setup!$L$3</f>
        <v>0</v>
      </c>
      <c r="M20" s="1135">
        <f>I20*Setup!$L$19</f>
        <v>0</v>
      </c>
      <c r="N20" s="1138">
        <f t="shared" ref="N20:N30" si="11">D20-SUM(I20:K20)</f>
        <v>0</v>
      </c>
      <c r="O20" s="1139"/>
      <c r="P20" s="1137"/>
      <c r="Q20" s="1135">
        <f t="shared" si="7"/>
        <v>0</v>
      </c>
      <c r="R20" s="1155">
        <f t="shared" si="8"/>
        <v>0</v>
      </c>
      <c r="S20" s="1140">
        <f>IF(SUM(I20:K20)&gt;0,(L20/SUM(I20:K20))*I20,0)</f>
        <v>0</v>
      </c>
      <c r="T20" s="1141">
        <f>IF(S20&gt;M20,0,(M20-S20)*Setup!$L$22)</f>
        <v>0</v>
      </c>
      <c r="U20" s="1141"/>
      <c r="V20" s="1141"/>
      <c r="W20" s="1141"/>
      <c r="X20" s="1141"/>
      <c r="Y20" s="1141"/>
      <c r="Z20" s="1141"/>
      <c r="AA20" s="1141"/>
      <c r="AB20" s="1141"/>
      <c r="AC20" s="1141"/>
      <c r="AD20" s="1141"/>
      <c r="AE20" s="1141"/>
      <c r="AF20" s="1141"/>
      <c r="AG20" s="1141"/>
      <c r="AH20" s="1141"/>
      <c r="AI20" s="1141"/>
      <c r="AJ20" s="1141"/>
      <c r="AK20" s="1141"/>
      <c r="AL20" s="1141"/>
      <c r="AM20" s="1141"/>
      <c r="AN20" s="1141"/>
      <c r="AO20" s="1141"/>
      <c r="AP20" s="1141"/>
      <c r="AQ20" s="1141"/>
      <c r="AR20" s="1141"/>
      <c r="AS20" s="1141"/>
      <c r="AT20" s="1141"/>
      <c r="AU20" s="1141"/>
      <c r="AV20" s="1141"/>
      <c r="AW20" s="1141"/>
      <c r="AX20" s="1141"/>
      <c r="AY20" s="1141"/>
      <c r="AZ20" s="1141"/>
      <c r="BA20" s="1141"/>
      <c r="BB20" s="1141"/>
      <c r="BC20" s="1141"/>
      <c r="BD20" s="1141"/>
      <c r="BE20" s="1141"/>
      <c r="BF20" s="1141"/>
      <c r="BG20" s="1141"/>
      <c r="BH20" s="1141"/>
      <c r="BI20" s="1141"/>
      <c r="BJ20" s="1141"/>
      <c r="BK20" s="1141"/>
      <c r="BL20" s="1141"/>
      <c r="BM20" s="1141"/>
      <c r="BN20" s="1141"/>
      <c r="BO20" s="1141"/>
      <c r="BP20" s="1141"/>
      <c r="BQ20" s="1141"/>
      <c r="BR20" s="1141"/>
      <c r="BS20" s="1141"/>
      <c r="BT20" s="1141"/>
      <c r="BU20" s="1141"/>
      <c r="BV20" s="1141"/>
      <c r="BW20" s="1141"/>
      <c r="BX20" s="1141"/>
      <c r="BY20" s="1141"/>
      <c r="BZ20" s="1141"/>
      <c r="CA20" s="1141"/>
      <c r="CB20" s="1141"/>
      <c r="CC20" s="1141"/>
      <c r="CD20" s="1141"/>
      <c r="CE20" s="1141"/>
      <c r="CF20" s="1141"/>
      <c r="CG20" s="1141"/>
      <c r="CH20" s="1141"/>
      <c r="CI20" s="1141"/>
      <c r="CJ20" s="1141"/>
      <c r="CK20" s="1141"/>
      <c r="CL20" s="1141"/>
      <c r="CM20" s="1141"/>
      <c r="CN20" s="1141"/>
      <c r="CO20" s="1141"/>
      <c r="CP20" s="1141"/>
    </row>
    <row r="21" spans="1:94">
      <c r="A21" s="1127">
        <v>17</v>
      </c>
      <c r="B21" s="1128"/>
      <c r="C21" s="1083" t="s">
        <v>307</v>
      </c>
      <c r="D21" s="1143">
        <f>ROUND(IF(F21=Lists!$D$5,E21,IF(F21=Lists!$D$6,E21*'Units&amp;Income'!$AV$94,IF(F21=Lists!$D$7,DevCosts!E21*Setup!$D$37,IF(F21=Lists!$D$8,E21*Setup!$D$38,IF(F21=Lists!$D$9,DevCosts!E21*SUM($D$13:$D$15),0))))),0)</f>
        <v>0</v>
      </c>
      <c r="E21" s="1130">
        <v>0</v>
      </c>
      <c r="F21" s="1131" t="s">
        <v>273</v>
      </c>
      <c r="G21" s="1132">
        <f>IF(Deal_Overview!$P$28=0,0,D21/Deal_Overview!$P$28)</f>
        <v>0</v>
      </c>
      <c r="H21" s="1133"/>
      <c r="I21" s="1134">
        <f>$D21*1</f>
        <v>0</v>
      </c>
      <c r="J21" s="1135">
        <f>D21*0</f>
        <v>0</v>
      </c>
      <c r="K21" s="1136">
        <f>D21*0</f>
        <v>0</v>
      </c>
      <c r="L21" s="1135">
        <f>SUM(I21:K21)*Setup!$L$3</f>
        <v>0</v>
      </c>
      <c r="M21" s="1135">
        <f>I21*Setup!$L$19</f>
        <v>0</v>
      </c>
      <c r="N21" s="1138">
        <f t="shared" si="11"/>
        <v>0</v>
      </c>
      <c r="O21" s="1139"/>
      <c r="P21" s="1137"/>
      <c r="Q21" s="1135">
        <f t="shared" si="7"/>
        <v>0</v>
      </c>
      <c r="R21" s="1155">
        <f t="shared" si="8"/>
        <v>0</v>
      </c>
      <c r="S21" s="1140">
        <f t="shared" ref="S21:S30" si="12">IF(SUM(I21:K21)&gt;0,(L21/SUM(I21:K21))*I21,0)</f>
        <v>0</v>
      </c>
      <c r="T21" s="1141">
        <f>IF(S21&gt;M21,0,(M21-S21)*Setup!$L$22)</f>
        <v>0</v>
      </c>
      <c r="U21" s="1141"/>
      <c r="V21" s="1141"/>
      <c r="W21" s="1141"/>
      <c r="X21" s="1141"/>
      <c r="Y21" s="1141"/>
      <c r="Z21" s="1141"/>
      <c r="AA21" s="1141"/>
      <c r="AB21" s="1141"/>
      <c r="AC21" s="1141"/>
      <c r="AD21" s="1141"/>
      <c r="AE21" s="1141"/>
      <c r="AF21" s="1141"/>
      <c r="AG21" s="1141"/>
      <c r="AH21" s="1141"/>
      <c r="AI21" s="1141"/>
      <c r="AJ21" s="1141"/>
      <c r="AK21" s="1141"/>
      <c r="AL21" s="1141"/>
      <c r="AM21" s="1141"/>
      <c r="AN21" s="1141"/>
      <c r="AO21" s="1141"/>
      <c r="AP21" s="1141"/>
      <c r="AQ21" s="1141"/>
      <c r="AR21" s="1141"/>
      <c r="AS21" s="1141"/>
      <c r="AT21" s="1141"/>
      <c r="AU21" s="1141"/>
      <c r="AV21" s="1141"/>
      <c r="AW21" s="1141"/>
      <c r="AX21" s="1141"/>
      <c r="AY21" s="1141"/>
      <c r="AZ21" s="1141"/>
      <c r="BA21" s="1141"/>
      <c r="BB21" s="1141"/>
      <c r="BC21" s="1141"/>
      <c r="BD21" s="1141"/>
      <c r="BE21" s="1141"/>
      <c r="BF21" s="1141"/>
      <c r="BG21" s="1141"/>
      <c r="BH21" s="1141"/>
      <c r="BI21" s="1141"/>
      <c r="BJ21" s="1141"/>
      <c r="BK21" s="1141"/>
      <c r="BL21" s="1141"/>
      <c r="BM21" s="1141"/>
      <c r="BN21" s="1141"/>
      <c r="BO21" s="1141"/>
      <c r="BP21" s="1141"/>
      <c r="BQ21" s="1141"/>
      <c r="BR21" s="1141"/>
      <c r="BS21" s="1141"/>
      <c r="BT21" s="1141"/>
      <c r="BU21" s="1141"/>
      <c r="BV21" s="1141"/>
      <c r="BW21" s="1141"/>
      <c r="BX21" s="1141"/>
      <c r="BY21" s="1141"/>
      <c r="BZ21" s="1141"/>
      <c r="CA21" s="1141"/>
      <c r="CB21" s="1141"/>
      <c r="CC21" s="1141"/>
      <c r="CD21" s="1141"/>
      <c r="CE21" s="1141"/>
      <c r="CF21" s="1141"/>
      <c r="CG21" s="1141"/>
      <c r="CH21" s="1141"/>
      <c r="CI21" s="1141"/>
      <c r="CJ21" s="1141"/>
      <c r="CK21" s="1141"/>
      <c r="CL21" s="1141"/>
      <c r="CM21" s="1141"/>
      <c r="CN21" s="1141"/>
      <c r="CO21" s="1141"/>
      <c r="CP21" s="1141"/>
    </row>
    <row r="22" spans="1:94">
      <c r="A22" s="1127">
        <v>18</v>
      </c>
      <c r="B22" s="1128"/>
      <c r="C22" s="1083" t="s">
        <v>308</v>
      </c>
      <c r="D22" s="1143">
        <f>ROUND(IF(F22=Lists!$D$5,E22,IF(F22=Lists!$D$6,E22*'Units&amp;Income'!$AV$94,IF(F22=Lists!$D$7,DevCosts!E22*Setup!$D$37,IF(F22=Lists!$D$8,E22*Setup!$D$38,IF(F22=Lists!$D$9,DevCosts!E22*SUM($D$13:$D$15),0))))),0)</f>
        <v>0</v>
      </c>
      <c r="E22" s="1130">
        <v>0</v>
      </c>
      <c r="F22" s="1131" t="s">
        <v>273</v>
      </c>
      <c r="G22" s="1132">
        <f>IF(Deal_Overview!$P$28=0,0,D22/Deal_Overview!$P$28)</f>
        <v>0</v>
      </c>
      <c r="H22" s="1133"/>
      <c r="I22" s="1134">
        <f>$D22*1</f>
        <v>0</v>
      </c>
      <c r="J22" s="1135">
        <f>D22*0</f>
        <v>0</v>
      </c>
      <c r="K22" s="1136">
        <f>D22*0</f>
        <v>0</v>
      </c>
      <c r="L22" s="1135">
        <f>SUM(I22:K22)*Setup!$L$3</f>
        <v>0</v>
      </c>
      <c r="M22" s="1135">
        <f>I22*Setup!$L$19</f>
        <v>0</v>
      </c>
      <c r="N22" s="1138">
        <f t="shared" si="11"/>
        <v>0</v>
      </c>
      <c r="O22" s="1139"/>
      <c r="P22" s="1137"/>
      <c r="Q22" s="1135">
        <f t="shared" si="7"/>
        <v>0</v>
      </c>
      <c r="R22" s="1155">
        <f t="shared" si="8"/>
        <v>0</v>
      </c>
      <c r="S22" s="1140">
        <f t="shared" si="12"/>
        <v>0</v>
      </c>
      <c r="T22" s="1141">
        <f>IF(S22&gt;M22,0,(M22-S22)*Setup!$L$22)</f>
        <v>0</v>
      </c>
      <c r="U22" s="1141"/>
      <c r="V22" s="1141"/>
      <c r="W22" s="1141"/>
      <c r="X22" s="1141"/>
      <c r="Y22" s="1141"/>
      <c r="Z22" s="1141"/>
      <c r="AA22" s="1141"/>
      <c r="AB22" s="1141"/>
      <c r="AC22" s="1141"/>
      <c r="AD22" s="1141"/>
      <c r="AE22" s="1141"/>
      <c r="AF22" s="1141"/>
      <c r="AG22" s="1141"/>
      <c r="AH22" s="1141"/>
      <c r="AI22" s="1141"/>
      <c r="AJ22" s="1141"/>
      <c r="AK22" s="1141"/>
      <c r="AL22" s="1141"/>
      <c r="AM22" s="1141"/>
      <c r="AN22" s="1141"/>
      <c r="AO22" s="1141"/>
      <c r="AP22" s="1141"/>
      <c r="AQ22" s="1141"/>
      <c r="AR22" s="1141"/>
      <c r="AS22" s="1141"/>
      <c r="AT22" s="1141"/>
      <c r="AU22" s="1141"/>
      <c r="AV22" s="1141"/>
      <c r="AW22" s="1141"/>
      <c r="AX22" s="1141"/>
      <c r="AY22" s="1141"/>
      <c r="AZ22" s="1141"/>
      <c r="BA22" s="1141"/>
      <c r="BB22" s="1141"/>
      <c r="BC22" s="1141"/>
      <c r="BD22" s="1141"/>
      <c r="BE22" s="1141"/>
      <c r="BF22" s="1141"/>
      <c r="BG22" s="1141"/>
      <c r="BH22" s="1141"/>
      <c r="BI22" s="1141"/>
      <c r="BJ22" s="1141"/>
      <c r="BK22" s="1141"/>
      <c r="BL22" s="1141"/>
      <c r="BM22" s="1141"/>
      <c r="BN22" s="1141"/>
      <c r="BO22" s="1141"/>
      <c r="BP22" s="1141"/>
      <c r="BQ22" s="1141"/>
      <c r="BR22" s="1141"/>
      <c r="BS22" s="1141"/>
      <c r="BT22" s="1141"/>
      <c r="BU22" s="1141"/>
      <c r="BV22" s="1141"/>
      <c r="BW22" s="1141"/>
      <c r="BX22" s="1141"/>
      <c r="BY22" s="1141"/>
      <c r="BZ22" s="1141"/>
      <c r="CA22" s="1141"/>
      <c r="CB22" s="1141"/>
      <c r="CC22" s="1141"/>
      <c r="CD22" s="1141"/>
      <c r="CE22" s="1141"/>
      <c r="CF22" s="1141"/>
      <c r="CG22" s="1141"/>
      <c r="CH22" s="1141"/>
      <c r="CI22" s="1141"/>
      <c r="CJ22" s="1141"/>
      <c r="CK22" s="1141"/>
      <c r="CL22" s="1141"/>
      <c r="CM22" s="1141"/>
      <c r="CN22" s="1141"/>
      <c r="CO22" s="1141"/>
      <c r="CP22" s="1141"/>
    </row>
    <row r="23" spans="1:94">
      <c r="A23" s="1127">
        <v>19</v>
      </c>
      <c r="B23" s="1128"/>
      <c r="C23" s="1083" t="s">
        <v>309</v>
      </c>
      <c r="D23" s="1143">
        <f>ROUND(IF(F23=Lists!$D$5,E23,IF(F23=Lists!$D$6,E23*'Units&amp;Income'!$AV$94,IF(F23=Lists!$D$7,DevCosts!E23*Setup!$D$37,IF(F23=Lists!$D$8,E23*Setup!$D$38,IF(F23=Lists!$D$9,DevCosts!E23*SUM($D$13:$D$15),0))))),0)</f>
        <v>0</v>
      </c>
      <c r="E23" s="1130">
        <v>0</v>
      </c>
      <c r="F23" s="1131" t="s">
        <v>273</v>
      </c>
      <c r="G23" s="1132">
        <f>IF(Deal_Overview!$P$28=0,0,D23/Deal_Overview!$P$28)</f>
        <v>0</v>
      </c>
      <c r="H23" s="1133"/>
      <c r="I23" s="1134">
        <f>$D23*1</f>
        <v>0</v>
      </c>
      <c r="J23" s="1135">
        <f>D23*0</f>
        <v>0</v>
      </c>
      <c r="K23" s="1136">
        <f>D23*0</f>
        <v>0</v>
      </c>
      <c r="L23" s="1135">
        <f>SUM(I23:K23)*Setup!$L$3</f>
        <v>0</v>
      </c>
      <c r="M23" s="1135">
        <f>I23*Setup!$L$19</f>
        <v>0</v>
      </c>
      <c r="N23" s="1138">
        <f t="shared" si="11"/>
        <v>0</v>
      </c>
      <c r="O23" s="1139"/>
      <c r="P23" s="1137"/>
      <c r="Q23" s="1135">
        <f t="shared" si="7"/>
        <v>0</v>
      </c>
      <c r="R23" s="1155">
        <f t="shared" si="8"/>
        <v>0</v>
      </c>
      <c r="S23" s="1140">
        <f t="shared" si="12"/>
        <v>0</v>
      </c>
      <c r="T23" s="1141">
        <f>IF(S23&gt;M23,0,(M23-S23)*Setup!$L$22)</f>
        <v>0</v>
      </c>
      <c r="U23" s="1141"/>
      <c r="V23" s="1141"/>
      <c r="W23" s="1141"/>
      <c r="X23" s="1141"/>
      <c r="Y23" s="1141"/>
      <c r="Z23" s="1141"/>
      <c r="AA23" s="1141"/>
      <c r="AB23" s="1141"/>
      <c r="AC23" s="1141"/>
      <c r="AD23" s="1141"/>
      <c r="AE23" s="1141"/>
      <c r="AF23" s="1141"/>
      <c r="AG23" s="1141"/>
      <c r="AH23" s="1141"/>
      <c r="AI23" s="1141"/>
      <c r="AJ23" s="1141"/>
      <c r="AK23" s="1141"/>
      <c r="AL23" s="1141"/>
      <c r="AM23" s="1141"/>
      <c r="AN23" s="1141"/>
      <c r="AO23" s="1141"/>
      <c r="AP23" s="1141"/>
      <c r="AQ23" s="1141"/>
      <c r="AR23" s="1141"/>
      <c r="AS23" s="1141"/>
      <c r="AT23" s="1141"/>
      <c r="AU23" s="1141"/>
      <c r="AV23" s="1141"/>
      <c r="AW23" s="1141"/>
      <c r="AX23" s="1141"/>
      <c r="AY23" s="1141"/>
      <c r="AZ23" s="1141"/>
      <c r="BA23" s="1141"/>
      <c r="BB23" s="1141"/>
      <c r="BC23" s="1141"/>
      <c r="BD23" s="1141"/>
      <c r="BE23" s="1141"/>
      <c r="BF23" s="1141"/>
      <c r="BG23" s="1141"/>
      <c r="BH23" s="1141"/>
      <c r="BI23" s="1141"/>
      <c r="BJ23" s="1141"/>
      <c r="BK23" s="1141"/>
      <c r="BL23" s="1141"/>
      <c r="BM23" s="1141"/>
      <c r="BN23" s="1141"/>
      <c r="BO23" s="1141"/>
      <c r="BP23" s="1141"/>
      <c r="BQ23" s="1141"/>
      <c r="BR23" s="1141"/>
      <c r="BS23" s="1141"/>
      <c r="BT23" s="1141"/>
      <c r="BU23" s="1141"/>
      <c r="BV23" s="1141"/>
      <c r="BW23" s="1141"/>
      <c r="BX23" s="1141"/>
      <c r="BY23" s="1141"/>
      <c r="BZ23" s="1141"/>
      <c r="CA23" s="1141"/>
      <c r="CB23" s="1141"/>
      <c r="CC23" s="1141"/>
      <c r="CD23" s="1141"/>
      <c r="CE23" s="1141"/>
      <c r="CF23" s="1141"/>
      <c r="CG23" s="1141"/>
      <c r="CH23" s="1141"/>
      <c r="CI23" s="1141"/>
      <c r="CJ23" s="1141"/>
      <c r="CK23" s="1141"/>
      <c r="CL23" s="1141"/>
      <c r="CM23" s="1141"/>
      <c r="CN23" s="1141"/>
      <c r="CO23" s="1141"/>
      <c r="CP23" s="1141"/>
    </row>
    <row r="24" spans="1:94">
      <c r="A24" s="1127">
        <v>20</v>
      </c>
      <c r="B24" s="1128"/>
      <c r="C24" s="1083" t="s">
        <v>310</v>
      </c>
      <c r="D24" s="1143">
        <f>ROUND(IF(F24=Lists!$D$5,E24,IF(F24=Lists!$D$6,E24*'Units&amp;Income'!$AV$94,IF(F24=Lists!$D$7,DevCosts!E24*Setup!$D$37,IF(F24=Lists!$D$8,E24*Setup!$D$38,IF(F24=Lists!$D$9,DevCosts!E24*SUM($D$13:$D$15),0))))),0)</f>
        <v>0</v>
      </c>
      <c r="E24" s="1130">
        <v>0</v>
      </c>
      <c r="F24" s="1131" t="s">
        <v>273</v>
      </c>
      <c r="G24" s="1132">
        <f>IF(Deal_Overview!$P$28=0,0,D24/Deal_Overview!$P$28)</f>
        <v>0</v>
      </c>
      <c r="H24" s="1133"/>
      <c r="I24" s="1134">
        <f t="shared" ref="I24:J30" si="13">$D24*0</f>
        <v>0</v>
      </c>
      <c r="J24" s="1135">
        <f t="shared" si="13"/>
        <v>0</v>
      </c>
      <c r="K24" s="1136">
        <f>$D24*1</f>
        <v>0</v>
      </c>
      <c r="L24" s="1135">
        <f>SUM(I24:K24)*Setup!$L$3</f>
        <v>0</v>
      </c>
      <c r="M24" s="1135">
        <f>I24*Setup!$L$19</f>
        <v>0</v>
      </c>
      <c r="N24" s="1138">
        <f t="shared" si="11"/>
        <v>0</v>
      </c>
      <c r="O24" s="1139"/>
      <c r="P24" s="1137"/>
      <c r="Q24" s="1135">
        <f t="shared" si="7"/>
        <v>0</v>
      </c>
      <c r="R24" s="1155">
        <f t="shared" si="8"/>
        <v>0</v>
      </c>
      <c r="S24" s="1140">
        <f t="shared" si="12"/>
        <v>0</v>
      </c>
      <c r="T24" s="1141">
        <f>IF(S24&gt;M24,0,(M24-S24)*Setup!$L$22)</f>
        <v>0</v>
      </c>
      <c r="U24" s="1141"/>
      <c r="V24" s="1141"/>
      <c r="W24" s="1141"/>
      <c r="X24" s="1141"/>
      <c r="Y24" s="1141"/>
      <c r="Z24" s="1141"/>
      <c r="AA24" s="1141"/>
      <c r="AB24" s="1141"/>
      <c r="AC24" s="1141"/>
      <c r="AD24" s="1141"/>
      <c r="AE24" s="1141"/>
      <c r="AF24" s="1141"/>
      <c r="AG24" s="1141"/>
      <c r="AH24" s="1141"/>
      <c r="AI24" s="1141"/>
      <c r="AJ24" s="1141"/>
      <c r="AK24" s="1141"/>
      <c r="AL24" s="1141"/>
      <c r="AM24" s="1141"/>
      <c r="AN24" s="1141"/>
      <c r="AO24" s="1141"/>
      <c r="AP24" s="1141"/>
      <c r="AQ24" s="1141"/>
      <c r="AR24" s="1141"/>
      <c r="AS24" s="1141"/>
      <c r="AT24" s="1141"/>
      <c r="AU24" s="1141"/>
      <c r="AV24" s="1141"/>
      <c r="AW24" s="1141"/>
      <c r="AX24" s="1141"/>
      <c r="AY24" s="1141"/>
      <c r="AZ24" s="1141"/>
      <c r="BA24" s="1141"/>
      <c r="BB24" s="1141"/>
      <c r="BC24" s="1141"/>
      <c r="BD24" s="1141"/>
      <c r="BE24" s="1141"/>
      <c r="BF24" s="1141"/>
      <c r="BG24" s="1141"/>
      <c r="BH24" s="1141"/>
      <c r="BI24" s="1141"/>
      <c r="BJ24" s="1141"/>
      <c r="BK24" s="1141"/>
      <c r="BL24" s="1141"/>
      <c r="BM24" s="1141"/>
      <c r="BN24" s="1141"/>
      <c r="BO24" s="1141"/>
      <c r="BP24" s="1141"/>
      <c r="BQ24" s="1141"/>
      <c r="BR24" s="1141"/>
      <c r="BS24" s="1141"/>
      <c r="BT24" s="1141"/>
      <c r="BU24" s="1141"/>
      <c r="BV24" s="1141"/>
      <c r="BW24" s="1141"/>
      <c r="BX24" s="1141"/>
      <c r="BY24" s="1141"/>
      <c r="BZ24" s="1141"/>
      <c r="CA24" s="1141"/>
      <c r="CB24" s="1141"/>
      <c r="CC24" s="1141"/>
      <c r="CD24" s="1141"/>
      <c r="CE24" s="1141"/>
      <c r="CF24" s="1141"/>
      <c r="CG24" s="1141"/>
      <c r="CH24" s="1141"/>
      <c r="CI24" s="1141"/>
      <c r="CJ24" s="1141"/>
      <c r="CK24" s="1141"/>
      <c r="CL24" s="1141"/>
      <c r="CM24" s="1141"/>
      <c r="CN24" s="1141"/>
      <c r="CO24" s="1141"/>
      <c r="CP24" s="1141"/>
    </row>
    <row r="25" spans="1:94">
      <c r="A25" s="1127">
        <v>21</v>
      </c>
      <c r="B25" s="1128"/>
      <c r="C25" s="1083" t="s">
        <v>311</v>
      </c>
      <c r="D25" s="1143">
        <f>ROUND(IF(F25=Lists!$D$5,E25,IF(F25=Lists!$D$6,E25*'Units&amp;Income'!$AV$94,IF(F25=Lists!$D$7,DevCosts!E25*Setup!$D$37,IF(F25=Lists!$D$8,E25*Setup!$D$38,IF(F25=Lists!$D$9,DevCosts!E25*SUM($D$13:$D$15),0))))),0)</f>
        <v>0</v>
      </c>
      <c r="E25" s="1130">
        <v>0</v>
      </c>
      <c r="F25" s="1131" t="s">
        <v>273</v>
      </c>
      <c r="G25" s="1132">
        <f>IF(Deal_Overview!$P$28=0,0,D25/Deal_Overview!$P$28)</f>
        <v>0</v>
      </c>
      <c r="H25" s="1133"/>
      <c r="I25" s="1134">
        <f t="shared" si="13"/>
        <v>0</v>
      </c>
      <c r="J25" s="1135">
        <f t="shared" si="13"/>
        <v>0</v>
      </c>
      <c r="K25" s="1136">
        <f>$D25*1</f>
        <v>0</v>
      </c>
      <c r="L25" s="1135">
        <f>SUM(I25:K25)*Setup!$L$3</f>
        <v>0</v>
      </c>
      <c r="M25" s="1135">
        <f>I25*Setup!$L$19</f>
        <v>0</v>
      </c>
      <c r="N25" s="1138">
        <f t="shared" si="11"/>
        <v>0</v>
      </c>
      <c r="O25" s="1139"/>
      <c r="P25" s="1137"/>
      <c r="Q25" s="1135">
        <f t="shared" si="7"/>
        <v>0</v>
      </c>
      <c r="R25" s="1155">
        <f t="shared" si="8"/>
        <v>0</v>
      </c>
      <c r="S25" s="1140">
        <f t="shared" si="12"/>
        <v>0</v>
      </c>
      <c r="T25" s="1141">
        <f>IF(S25&gt;M25,0,(M25-S25)*Setup!$L$22)</f>
        <v>0</v>
      </c>
      <c r="U25" s="1141"/>
      <c r="V25" s="1141"/>
      <c r="W25" s="1141"/>
      <c r="X25" s="1141"/>
      <c r="Y25" s="1141"/>
      <c r="Z25" s="1141"/>
      <c r="AA25" s="1141"/>
      <c r="AB25" s="1141"/>
      <c r="AC25" s="1141"/>
      <c r="AD25" s="1141"/>
      <c r="AE25" s="1141"/>
      <c r="AF25" s="1141"/>
      <c r="AG25" s="1141"/>
      <c r="AH25" s="1141"/>
      <c r="AI25" s="1141"/>
      <c r="AJ25" s="1141"/>
      <c r="AK25" s="1141"/>
      <c r="AL25" s="1141"/>
      <c r="AM25" s="1141"/>
      <c r="AN25" s="1141"/>
      <c r="AO25" s="1141"/>
      <c r="AP25" s="1141"/>
      <c r="AQ25" s="1141"/>
      <c r="AR25" s="1141"/>
      <c r="AS25" s="1141"/>
      <c r="AT25" s="1141"/>
      <c r="AU25" s="1141"/>
      <c r="AV25" s="1141"/>
      <c r="AW25" s="1141"/>
      <c r="AX25" s="1141"/>
      <c r="AY25" s="1141"/>
      <c r="AZ25" s="1141"/>
      <c r="BA25" s="1141"/>
      <c r="BB25" s="1141"/>
      <c r="BC25" s="1141"/>
      <c r="BD25" s="1141"/>
      <c r="BE25" s="1141"/>
      <c r="BF25" s="1141"/>
      <c r="BG25" s="1141"/>
      <c r="BH25" s="1141"/>
      <c r="BI25" s="1141"/>
      <c r="BJ25" s="1141"/>
      <c r="BK25" s="1141"/>
      <c r="BL25" s="1141"/>
      <c r="BM25" s="1141"/>
      <c r="BN25" s="1141"/>
      <c r="BO25" s="1141"/>
      <c r="BP25" s="1141"/>
      <c r="BQ25" s="1141"/>
      <c r="BR25" s="1141"/>
      <c r="BS25" s="1141"/>
      <c r="BT25" s="1141"/>
      <c r="BU25" s="1141"/>
      <c r="BV25" s="1141"/>
      <c r="BW25" s="1141"/>
      <c r="BX25" s="1141"/>
      <c r="BY25" s="1141"/>
      <c r="BZ25" s="1141"/>
      <c r="CA25" s="1141"/>
      <c r="CB25" s="1141"/>
      <c r="CC25" s="1141"/>
      <c r="CD25" s="1141"/>
      <c r="CE25" s="1141"/>
      <c r="CF25" s="1141"/>
      <c r="CG25" s="1141"/>
      <c r="CH25" s="1141"/>
      <c r="CI25" s="1141"/>
      <c r="CJ25" s="1141"/>
      <c r="CK25" s="1141"/>
      <c r="CL25" s="1141"/>
      <c r="CM25" s="1141"/>
      <c r="CN25" s="1141"/>
      <c r="CO25" s="1141"/>
      <c r="CP25" s="1141"/>
    </row>
    <row r="26" spans="1:94">
      <c r="A26" s="1127">
        <v>22</v>
      </c>
      <c r="B26" s="1128"/>
      <c r="C26" s="1083" t="s">
        <v>312</v>
      </c>
      <c r="D26" s="1143">
        <f>ROUND(IF(F26=Lists!$D$5,E26,IF(F26=Lists!$D$6,E26*'Units&amp;Income'!$AV$94,IF(F26=Lists!$D$7,DevCosts!E26*Setup!$D$37,IF(F26=Lists!$D$8,E26*Setup!$D$38,IF(F26=Lists!$D$9,DevCosts!E26*SUM($D$13:$D$15),0))))),0)</f>
        <v>0</v>
      </c>
      <c r="E26" s="1130">
        <v>0</v>
      </c>
      <c r="F26" s="1131" t="s">
        <v>273</v>
      </c>
      <c r="G26" s="1132">
        <f>IF(Deal_Overview!$P$28=0,0,D26/Deal_Overview!$P$28)</f>
        <v>0</v>
      </c>
      <c r="H26" s="1133"/>
      <c r="I26" s="1134">
        <f t="shared" si="13"/>
        <v>0</v>
      </c>
      <c r="J26" s="1135">
        <f t="shared" si="13"/>
        <v>0</v>
      </c>
      <c r="K26" s="1136">
        <f>$D26*1</f>
        <v>0</v>
      </c>
      <c r="L26" s="1135">
        <f>SUM(I26:K26)*Setup!$L$3</f>
        <v>0</v>
      </c>
      <c r="M26" s="1135">
        <f>I26*Setup!$L$19</f>
        <v>0</v>
      </c>
      <c r="N26" s="1138">
        <f t="shared" si="11"/>
        <v>0</v>
      </c>
      <c r="O26" s="1139"/>
      <c r="P26" s="1137"/>
      <c r="Q26" s="1135">
        <f t="shared" si="7"/>
        <v>0</v>
      </c>
      <c r="R26" s="1155">
        <f t="shared" si="8"/>
        <v>0</v>
      </c>
      <c r="S26" s="1140">
        <f t="shared" si="12"/>
        <v>0</v>
      </c>
      <c r="T26" s="1141">
        <f>IF(S26&gt;M26,0,(M26-S26)*Setup!$L$22)</f>
        <v>0</v>
      </c>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1141"/>
      <c r="AU26" s="1141"/>
      <c r="AV26" s="1141"/>
      <c r="AW26" s="1141"/>
      <c r="AX26" s="1141"/>
      <c r="AY26" s="1141"/>
      <c r="AZ26" s="1141"/>
      <c r="BA26" s="1141"/>
      <c r="BB26" s="1141"/>
      <c r="BC26" s="1141"/>
      <c r="BD26" s="1141"/>
      <c r="BE26" s="1141"/>
      <c r="BF26" s="1141"/>
      <c r="BG26" s="1141"/>
      <c r="BH26" s="1141"/>
      <c r="BI26" s="1141"/>
      <c r="BJ26" s="1141"/>
      <c r="BK26" s="1141"/>
      <c r="BL26" s="1141"/>
      <c r="BM26" s="1141"/>
      <c r="BN26" s="1141"/>
      <c r="BO26" s="1141"/>
      <c r="BP26" s="1141"/>
      <c r="BQ26" s="1141"/>
      <c r="BR26" s="1141"/>
      <c r="BS26" s="1141"/>
      <c r="BT26" s="1141"/>
      <c r="BU26" s="1141"/>
      <c r="BV26" s="1141"/>
      <c r="BW26" s="1141"/>
      <c r="BX26" s="1141"/>
      <c r="BY26" s="1141"/>
      <c r="BZ26" s="1141"/>
      <c r="CA26" s="1141"/>
      <c r="CB26" s="1141"/>
      <c r="CC26" s="1141"/>
      <c r="CD26" s="1141"/>
      <c r="CE26" s="1141"/>
      <c r="CF26" s="1141"/>
      <c r="CG26" s="1141"/>
      <c r="CH26" s="1141"/>
      <c r="CI26" s="1141"/>
      <c r="CJ26" s="1141"/>
      <c r="CK26" s="1141"/>
      <c r="CL26" s="1141"/>
      <c r="CM26" s="1141"/>
      <c r="CN26" s="1141"/>
      <c r="CO26" s="1141"/>
      <c r="CP26" s="1141"/>
    </row>
    <row r="27" spans="1:94">
      <c r="A27" s="1127">
        <v>23</v>
      </c>
      <c r="B27" s="1128"/>
      <c r="C27" s="1083" t="s">
        <v>313</v>
      </c>
      <c r="D27" s="1143">
        <f>ROUND(IF(F27=Lists!$D$5,E27,IF(F27=Lists!$D$6,E27*'Units&amp;Income'!$AV$94,IF(F27=Lists!$D$7,DevCosts!E27*Setup!$D$37,IF(F27=Lists!$D$8,E27*Setup!$D$38,IF(F27=Lists!$D$9,DevCosts!E27*SUM($D$13:$D$15),0))))),0)</f>
        <v>0</v>
      </c>
      <c r="E27" s="1130">
        <v>0</v>
      </c>
      <c r="F27" s="1131" t="s">
        <v>273</v>
      </c>
      <c r="G27" s="1132">
        <f>IF(Deal_Overview!$P$28=0,0,D27/Deal_Overview!$P$28)</f>
        <v>0</v>
      </c>
      <c r="H27" s="1133"/>
      <c r="I27" s="1134">
        <f t="shared" si="13"/>
        <v>0</v>
      </c>
      <c r="J27" s="1135">
        <f t="shared" si="13"/>
        <v>0</v>
      </c>
      <c r="K27" s="1136">
        <f>$D27*1</f>
        <v>0</v>
      </c>
      <c r="L27" s="1135">
        <f>SUM(I27:K27)*Setup!$L$3</f>
        <v>0</v>
      </c>
      <c r="M27" s="1135">
        <f>I27*Setup!$L$19</f>
        <v>0</v>
      </c>
      <c r="N27" s="1138">
        <f t="shared" si="11"/>
        <v>0</v>
      </c>
      <c r="O27" s="1139"/>
      <c r="P27" s="1137"/>
      <c r="Q27" s="1135">
        <f t="shared" si="7"/>
        <v>0</v>
      </c>
      <c r="R27" s="1155">
        <f t="shared" si="8"/>
        <v>0</v>
      </c>
      <c r="S27" s="1140">
        <f t="shared" si="12"/>
        <v>0</v>
      </c>
      <c r="T27" s="1141">
        <f>IF(S27&gt;M27,0,(M27-S27)*Setup!$L$22)</f>
        <v>0</v>
      </c>
      <c r="U27" s="1141"/>
      <c r="V27" s="1141"/>
      <c r="W27" s="1141"/>
      <c r="X27" s="1141"/>
      <c r="Y27" s="1141"/>
      <c r="Z27" s="1141"/>
      <c r="AA27" s="1141"/>
      <c r="AB27" s="1141"/>
      <c r="AC27" s="1141"/>
      <c r="AD27" s="1141"/>
      <c r="AE27" s="1141"/>
      <c r="AF27" s="1141"/>
      <c r="AG27" s="1141"/>
      <c r="AH27" s="1141"/>
      <c r="AI27" s="1141"/>
      <c r="AJ27" s="1141"/>
      <c r="AK27" s="1141"/>
      <c r="AL27" s="1141"/>
      <c r="AM27" s="1141"/>
      <c r="AN27" s="1141"/>
      <c r="AO27" s="1141"/>
      <c r="AP27" s="1141"/>
      <c r="AQ27" s="1141"/>
      <c r="AR27" s="1141"/>
      <c r="AS27" s="1141"/>
      <c r="AT27" s="1141"/>
      <c r="AU27" s="1141"/>
      <c r="AV27" s="1141"/>
      <c r="AW27" s="1141"/>
      <c r="AX27" s="1141"/>
      <c r="AY27" s="1141"/>
      <c r="AZ27" s="1141"/>
      <c r="BA27" s="1141"/>
      <c r="BB27" s="1141"/>
      <c r="BC27" s="1141"/>
      <c r="BD27" s="1141"/>
      <c r="BE27" s="1141"/>
      <c r="BF27" s="1141"/>
      <c r="BG27" s="1141"/>
      <c r="BH27" s="1141"/>
      <c r="BI27" s="1141"/>
      <c r="BJ27" s="1141"/>
      <c r="BK27" s="1141"/>
      <c r="BL27" s="1141"/>
      <c r="BM27" s="1141"/>
      <c r="BN27" s="1141"/>
      <c r="BO27" s="1141"/>
      <c r="BP27" s="1141"/>
      <c r="BQ27" s="1141"/>
      <c r="BR27" s="1141"/>
      <c r="BS27" s="1141"/>
      <c r="BT27" s="1141"/>
      <c r="BU27" s="1141"/>
      <c r="BV27" s="1141"/>
      <c r="BW27" s="1141"/>
      <c r="BX27" s="1141"/>
      <c r="BY27" s="1141"/>
      <c r="BZ27" s="1141"/>
      <c r="CA27" s="1141"/>
      <c r="CB27" s="1141"/>
      <c r="CC27" s="1141"/>
      <c r="CD27" s="1141"/>
      <c r="CE27" s="1141"/>
      <c r="CF27" s="1141"/>
      <c r="CG27" s="1141"/>
      <c r="CH27" s="1141"/>
      <c r="CI27" s="1141"/>
      <c r="CJ27" s="1141"/>
      <c r="CK27" s="1141"/>
      <c r="CL27" s="1141"/>
      <c r="CM27" s="1141"/>
      <c r="CN27" s="1141"/>
      <c r="CO27" s="1141"/>
      <c r="CP27" s="1141"/>
    </row>
    <row r="28" spans="1:94">
      <c r="A28" s="1127">
        <v>24</v>
      </c>
      <c r="B28" s="1128"/>
      <c r="C28" s="1083" t="s">
        <v>314</v>
      </c>
      <c r="D28" s="1143">
        <f>ROUND(IF(F28=Lists!$D$5,E28,IF(F28=Lists!$D$6,E28*'Units&amp;Income'!$AV$94,IF(F28=Lists!$D$7,DevCosts!E28*Setup!$D$37,IF(F28=Lists!$D$8,E28*Setup!$D$38,IF(F28=Lists!$D$9,DevCosts!E28*SUM($D$13:$D$15),0))))),0)</f>
        <v>0</v>
      </c>
      <c r="E28" s="1130">
        <v>0</v>
      </c>
      <c r="F28" s="1131" t="s">
        <v>273</v>
      </c>
      <c r="G28" s="1132">
        <f>IF(Deal_Overview!$P$28=0,0,D28/Deal_Overview!$P$28)</f>
        <v>0</v>
      </c>
      <c r="H28" s="1133"/>
      <c r="I28" s="1134">
        <f t="shared" si="13"/>
        <v>0</v>
      </c>
      <c r="J28" s="1135">
        <f t="shared" si="13"/>
        <v>0</v>
      </c>
      <c r="K28" s="1136">
        <f>$D28*1</f>
        <v>0</v>
      </c>
      <c r="L28" s="1135">
        <f>SUM(I28:K28)*Setup!$L$3</f>
        <v>0</v>
      </c>
      <c r="M28" s="1135">
        <f>I28*Setup!$L$19</f>
        <v>0</v>
      </c>
      <c r="N28" s="1138">
        <f t="shared" si="11"/>
        <v>0</v>
      </c>
      <c r="O28" s="1139"/>
      <c r="P28" s="1137"/>
      <c r="Q28" s="1135">
        <f t="shared" si="7"/>
        <v>0</v>
      </c>
      <c r="R28" s="1155">
        <f t="shared" si="8"/>
        <v>0</v>
      </c>
      <c r="S28" s="1140">
        <f t="shared" si="12"/>
        <v>0</v>
      </c>
      <c r="T28" s="1141">
        <f>IF(S28&gt;M28,0,(M28-S28)*Setup!$L$22)</f>
        <v>0</v>
      </c>
      <c r="U28" s="1141"/>
      <c r="V28" s="1141"/>
      <c r="W28" s="1141"/>
      <c r="X28" s="1141"/>
      <c r="Y28" s="1141"/>
      <c r="Z28" s="1141"/>
      <c r="AA28" s="1141"/>
      <c r="AB28" s="1141"/>
      <c r="AC28" s="1141"/>
      <c r="AD28" s="1141"/>
      <c r="AE28" s="1141"/>
      <c r="AF28" s="1141"/>
      <c r="AG28" s="1141"/>
      <c r="AH28" s="1141"/>
      <c r="AI28" s="1141"/>
      <c r="AJ28" s="1141"/>
      <c r="AK28" s="1141"/>
      <c r="AL28" s="1141"/>
      <c r="AM28" s="1141"/>
      <c r="AN28" s="1141"/>
      <c r="AO28" s="1141"/>
      <c r="AP28" s="1141"/>
      <c r="AQ28" s="1141"/>
      <c r="AR28" s="1141"/>
      <c r="AS28" s="1141"/>
      <c r="AT28" s="1141"/>
      <c r="AU28" s="1141"/>
      <c r="AV28" s="1141"/>
      <c r="AW28" s="1141"/>
      <c r="AX28" s="1141"/>
      <c r="AY28" s="1141"/>
      <c r="AZ28" s="1141"/>
      <c r="BA28" s="1141"/>
      <c r="BB28" s="1141"/>
      <c r="BC28" s="1141"/>
      <c r="BD28" s="1141"/>
      <c r="BE28" s="1141"/>
      <c r="BF28" s="1141"/>
      <c r="BG28" s="1141"/>
      <c r="BH28" s="1141"/>
      <c r="BI28" s="1141"/>
      <c r="BJ28" s="1141"/>
      <c r="BK28" s="1141"/>
      <c r="BL28" s="1141"/>
      <c r="BM28" s="1141"/>
      <c r="BN28" s="1141"/>
      <c r="BO28" s="1141"/>
      <c r="BP28" s="1141"/>
      <c r="BQ28" s="1141"/>
      <c r="BR28" s="1141"/>
      <c r="BS28" s="1141"/>
      <c r="BT28" s="1141"/>
      <c r="BU28" s="1141"/>
      <c r="BV28" s="1141"/>
      <c r="BW28" s="1141"/>
      <c r="BX28" s="1141"/>
      <c r="BY28" s="1141"/>
      <c r="BZ28" s="1141"/>
      <c r="CA28" s="1141"/>
      <c r="CB28" s="1141"/>
      <c r="CC28" s="1141"/>
      <c r="CD28" s="1141"/>
      <c r="CE28" s="1141"/>
      <c r="CF28" s="1141"/>
      <c r="CG28" s="1141"/>
      <c r="CH28" s="1141"/>
      <c r="CI28" s="1141"/>
      <c r="CJ28" s="1141"/>
      <c r="CK28" s="1141"/>
      <c r="CL28" s="1141"/>
      <c r="CM28" s="1141"/>
      <c r="CN28" s="1141"/>
      <c r="CO28" s="1141"/>
      <c r="CP28" s="1141"/>
    </row>
    <row r="29" spans="1:94">
      <c r="A29" s="1127">
        <v>26</v>
      </c>
      <c r="B29" s="1128"/>
      <c r="C29" s="1083" t="s">
        <v>315</v>
      </c>
      <c r="D29" s="1143">
        <f>ROUND(IF(F29=Lists!$D$5,E29,IF(F29=Lists!$D$6,E29*'Units&amp;Income'!$AV$94,IF(F29=Lists!$D$7,DevCosts!E29*Setup!$D$37,IF(F29=Lists!$D$8,E29*Setup!$D$38,IF(F29=Lists!$D$9,DevCosts!E29*SUM($D$13:$D$15),0))))),0)</f>
        <v>0</v>
      </c>
      <c r="E29" s="1130">
        <v>0</v>
      </c>
      <c r="F29" s="1131" t="s">
        <v>273</v>
      </c>
      <c r="G29" s="1132">
        <f>IF(Deal_Overview!$P$28=0,0,D29/Deal_Overview!$P$28)</f>
        <v>0</v>
      </c>
      <c r="H29" s="1133"/>
      <c r="I29" s="1134">
        <f>$D29*1</f>
        <v>0</v>
      </c>
      <c r="J29" s="1135">
        <f>$D29*0</f>
        <v>0</v>
      </c>
      <c r="K29" s="1136">
        <f>$D29*0</f>
        <v>0</v>
      </c>
      <c r="L29" s="1135">
        <f>SUM(I29:K29)*Setup!$L$3</f>
        <v>0</v>
      </c>
      <c r="M29" s="1135">
        <f>I29*Setup!$L$19</f>
        <v>0</v>
      </c>
      <c r="N29" s="1138">
        <f>D29-SUM(I29:K29)</f>
        <v>0</v>
      </c>
      <c r="O29" s="1139"/>
      <c r="P29" s="1137"/>
      <c r="Q29" s="1135">
        <f>SUM(I29:K29)-L29-P29</f>
        <v>0</v>
      </c>
      <c r="R29" s="1155">
        <f>I29</f>
        <v>0</v>
      </c>
      <c r="S29" s="1140">
        <f t="shared" si="12"/>
        <v>0</v>
      </c>
      <c r="T29" s="1141">
        <f>IF(S29&gt;M29,0,(M29-S29)*Setup!$L$22)</f>
        <v>0</v>
      </c>
      <c r="U29" s="1141"/>
      <c r="V29" s="1141"/>
      <c r="W29" s="1141"/>
      <c r="X29" s="1141"/>
      <c r="Y29" s="1141"/>
      <c r="Z29" s="1141"/>
      <c r="AA29" s="1141"/>
      <c r="AB29" s="1141"/>
      <c r="AC29" s="1141"/>
      <c r="AD29" s="1141"/>
      <c r="AE29" s="1141"/>
      <c r="AF29" s="1141"/>
      <c r="AG29" s="1141"/>
      <c r="AH29" s="1141"/>
      <c r="AI29" s="1141"/>
      <c r="AJ29" s="1141"/>
      <c r="AK29" s="1141"/>
      <c r="AL29" s="1141"/>
      <c r="AM29" s="1141"/>
      <c r="AN29" s="1141"/>
      <c r="AO29" s="1141"/>
      <c r="AP29" s="1141"/>
      <c r="AQ29" s="1141"/>
      <c r="AR29" s="1141"/>
      <c r="AS29" s="1141"/>
      <c r="AT29" s="1141"/>
      <c r="AU29" s="1141"/>
      <c r="AV29" s="1141"/>
      <c r="AW29" s="1141"/>
      <c r="AX29" s="1141"/>
      <c r="AY29" s="1141"/>
      <c r="AZ29" s="1141"/>
      <c r="BA29" s="1141"/>
      <c r="BB29" s="1141"/>
      <c r="BC29" s="1141"/>
      <c r="BD29" s="1141"/>
      <c r="BE29" s="1141"/>
      <c r="BF29" s="1141"/>
      <c r="BG29" s="1141"/>
      <c r="BH29" s="1141"/>
      <c r="BI29" s="1141"/>
      <c r="BJ29" s="1141"/>
      <c r="BK29" s="1141"/>
      <c r="BL29" s="1141"/>
      <c r="BM29" s="1141"/>
      <c r="BN29" s="1141"/>
      <c r="BO29" s="1141"/>
      <c r="BP29" s="1141"/>
      <c r="BQ29" s="1141"/>
      <c r="BR29" s="1141"/>
      <c r="BS29" s="1141"/>
      <c r="BT29" s="1141"/>
      <c r="BU29" s="1141"/>
      <c r="BV29" s="1141"/>
      <c r="BW29" s="1141"/>
      <c r="BX29" s="1141"/>
      <c r="BY29" s="1141"/>
      <c r="BZ29" s="1141"/>
      <c r="CA29" s="1141"/>
      <c r="CB29" s="1141"/>
      <c r="CC29" s="1141"/>
      <c r="CD29" s="1141"/>
      <c r="CE29" s="1141"/>
      <c r="CF29" s="1141"/>
      <c r="CG29" s="1141"/>
      <c r="CH29" s="1141"/>
      <c r="CI29" s="1141"/>
      <c r="CJ29" s="1141"/>
      <c r="CK29" s="1141"/>
      <c r="CL29" s="1141"/>
      <c r="CM29" s="1141"/>
      <c r="CN29" s="1141"/>
      <c r="CO29" s="1141"/>
      <c r="CP29" s="1141"/>
    </row>
    <row r="30" spans="1:94">
      <c r="A30" s="1127">
        <v>25</v>
      </c>
      <c r="B30" s="1128"/>
      <c r="C30" s="1083" t="s">
        <v>316</v>
      </c>
      <c r="D30" s="1143">
        <f>ROUND(IF(F30=Lists!$D$5,E30,IF(F30=Lists!$D$6,E30*'Units&amp;Income'!$AV$94,IF(F30=Lists!$D$7,DevCosts!E30*Setup!$D$37,IF(F30=Lists!$D$8,E30*Setup!$D$38,IF(F30=Lists!$D$9,DevCosts!E30*(SUM($D$13:$D$18)+SUM(D24:D29)),0))))),0)</f>
        <v>0</v>
      </c>
      <c r="E30" s="1144">
        <v>0.1</v>
      </c>
      <c r="F30" s="1159" t="s">
        <v>302</v>
      </c>
      <c r="G30" s="1132">
        <f>IF(Deal_Overview!$P$28=0,0,D30/Deal_Overview!$P$28)</f>
        <v>0</v>
      </c>
      <c r="H30" s="1133"/>
      <c r="I30" s="1134">
        <f>$D30*0</f>
        <v>0</v>
      </c>
      <c r="J30" s="1135">
        <f t="shared" si="13"/>
        <v>0</v>
      </c>
      <c r="K30" s="1136">
        <f>$D30*0</f>
        <v>0</v>
      </c>
      <c r="L30" s="1135">
        <f>SUM(I30:K30)*Setup!$L$3</f>
        <v>0</v>
      </c>
      <c r="M30" s="1135">
        <f>I30*Setup!$L$19</f>
        <v>0</v>
      </c>
      <c r="N30" s="1138">
        <f t="shared" si="11"/>
        <v>0</v>
      </c>
      <c r="O30" s="1139"/>
      <c r="P30" s="1137"/>
      <c r="Q30" s="1135">
        <f t="shared" si="7"/>
        <v>0</v>
      </c>
      <c r="R30" s="1155">
        <f t="shared" si="8"/>
        <v>0</v>
      </c>
      <c r="S30" s="1140">
        <f t="shared" si="12"/>
        <v>0</v>
      </c>
      <c r="T30" s="1141">
        <f>IF(S30&gt;M30,0,(M30-S30)*Setup!$L$22)</f>
        <v>0</v>
      </c>
      <c r="U30" s="1141"/>
      <c r="V30" s="1141"/>
      <c r="W30" s="1141"/>
      <c r="X30" s="1141"/>
      <c r="Y30" s="1141"/>
      <c r="Z30" s="1141"/>
      <c r="AA30" s="1141"/>
      <c r="AB30" s="1141"/>
      <c r="AC30" s="1141"/>
      <c r="AD30" s="1141"/>
      <c r="AE30" s="1141"/>
      <c r="AF30" s="1141"/>
      <c r="AG30" s="1141"/>
      <c r="AH30" s="1141"/>
      <c r="AI30" s="1141"/>
      <c r="AJ30" s="1141"/>
      <c r="AK30" s="1141"/>
      <c r="AL30" s="1141"/>
      <c r="AM30" s="1141"/>
      <c r="AN30" s="1141"/>
      <c r="AO30" s="1141"/>
      <c r="AP30" s="1141"/>
      <c r="AQ30" s="1141"/>
      <c r="AR30" s="1141"/>
      <c r="AS30" s="1141"/>
      <c r="AT30" s="1141"/>
      <c r="AU30" s="1141"/>
      <c r="AV30" s="1141"/>
      <c r="AW30" s="1141"/>
      <c r="AX30" s="1141"/>
      <c r="AY30" s="1141"/>
      <c r="AZ30" s="1141"/>
      <c r="BA30" s="1141"/>
      <c r="BB30" s="1141"/>
      <c r="BC30" s="1141"/>
      <c r="BD30" s="1141"/>
      <c r="BE30" s="1141"/>
      <c r="BF30" s="1141"/>
      <c r="BG30" s="1141"/>
      <c r="BH30" s="1141"/>
      <c r="BI30" s="1141"/>
      <c r="BJ30" s="1141"/>
      <c r="BK30" s="1141"/>
      <c r="BL30" s="1141"/>
      <c r="BM30" s="1141"/>
      <c r="BN30" s="1141"/>
      <c r="BO30" s="1141"/>
      <c r="BP30" s="1141"/>
      <c r="BQ30" s="1141"/>
      <c r="BR30" s="1141"/>
      <c r="BS30" s="1141"/>
      <c r="BT30" s="1141"/>
      <c r="BU30" s="1141"/>
      <c r="BV30" s="1141"/>
      <c r="BW30" s="1141"/>
      <c r="BX30" s="1141"/>
      <c r="BY30" s="1141"/>
      <c r="BZ30" s="1141"/>
      <c r="CA30" s="1141"/>
      <c r="CB30" s="1141"/>
      <c r="CC30" s="1141"/>
      <c r="CD30" s="1141"/>
      <c r="CE30" s="1141"/>
      <c r="CF30" s="1141"/>
      <c r="CG30" s="1141"/>
      <c r="CH30" s="1141"/>
      <c r="CI30" s="1141"/>
      <c r="CJ30" s="1141"/>
      <c r="CK30" s="1141"/>
      <c r="CL30" s="1141"/>
      <c r="CM30" s="1141"/>
      <c r="CN30" s="1141"/>
      <c r="CO30" s="1141"/>
      <c r="CP30" s="1141"/>
    </row>
    <row r="31" spans="1:94" s="56" customFormat="1">
      <c r="A31" s="1146"/>
      <c r="B31" s="1919" t="s">
        <v>317</v>
      </c>
      <c r="C31" s="1919"/>
      <c r="D31" s="1147">
        <f>SUM(D20:D30)</f>
        <v>0</v>
      </c>
      <c r="E31" s="1148"/>
      <c r="F31" s="1149"/>
      <c r="G31" s="1147">
        <f>IF(Deal_Overview!$P$28=0,0,D31/Deal_Overview!$P$28)</f>
        <v>0</v>
      </c>
      <c r="H31" s="1150"/>
      <c r="I31" s="1157">
        <f t="shared" ref="I31:N31" si="14">SUM(I20:I30)</f>
        <v>0</v>
      </c>
      <c r="J31" s="1158">
        <f t="shared" si="14"/>
        <v>0</v>
      </c>
      <c r="K31" s="1147">
        <f t="shared" si="14"/>
        <v>0</v>
      </c>
      <c r="L31" s="1158">
        <f t="shared" si="14"/>
        <v>0</v>
      </c>
      <c r="M31" s="1158">
        <f t="shared" si="14"/>
        <v>0</v>
      </c>
      <c r="N31" s="1158">
        <f t="shared" si="14"/>
        <v>0</v>
      </c>
      <c r="O31" s="1153"/>
      <c r="P31" s="1149"/>
      <c r="Q31" s="1158">
        <f>SUM(Q20:Q30)</f>
        <v>0</v>
      </c>
      <c r="R31" s="1149">
        <f>I31</f>
        <v>0</v>
      </c>
      <c r="S31" s="1154"/>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row>
    <row r="32" spans="1:94">
      <c r="A32" s="1127">
        <v>27</v>
      </c>
      <c r="B32" s="1128"/>
      <c r="C32" s="1083" t="s">
        <v>318</v>
      </c>
      <c r="D32" s="1143">
        <f>ROUND(IF(F32=Lists!$D$5,E32,IF(F32=Lists!$D$6,E32*'Units&amp;Income'!$AV$94,IF(F32=Lists!$D$7,DevCosts!E32*Setup!$D$37,IF(F32=Lists!$D$8,E32*Setup!$D$38,IF(F32=Lists!$D$9,DevCosts!E32*DevCosts!$D$13,0))))),0)</f>
        <v>0</v>
      </c>
      <c r="E32" s="1130">
        <v>0</v>
      </c>
      <c r="F32" s="1131" t="s">
        <v>273</v>
      </c>
      <c r="G32" s="1132">
        <f>IF(Deal_Overview!$P$28=0,0,D32/Deal_Overview!$P$28)</f>
        <v>0</v>
      </c>
      <c r="H32" s="1133"/>
      <c r="I32" s="1134">
        <f t="shared" ref="I32:K37" si="15">$D32*0</f>
        <v>0</v>
      </c>
      <c r="J32" s="1135">
        <f t="shared" si="15"/>
        <v>0</v>
      </c>
      <c r="K32" s="1136">
        <f t="shared" si="15"/>
        <v>0</v>
      </c>
      <c r="L32" s="1135">
        <f>SUM(I32:K32)*Setup!$L$3</f>
        <v>0</v>
      </c>
      <c r="M32" s="1135">
        <f>I32*Setup!$L$19</f>
        <v>0</v>
      </c>
      <c r="N32" s="1138">
        <f t="shared" ref="N32:N37" si="16">D32-SUM(I32:K32)</f>
        <v>0</v>
      </c>
      <c r="O32" s="1139"/>
      <c r="P32" s="1137"/>
      <c r="Q32" s="1135">
        <f t="shared" si="7"/>
        <v>0</v>
      </c>
      <c r="R32" s="1155">
        <f t="shared" si="8"/>
        <v>0</v>
      </c>
      <c r="S32" s="1140">
        <f>IF(SUM(I32:K32)&gt;0,(L32/SUM(I32:K32))*I32,0)</f>
        <v>0</v>
      </c>
      <c r="T32" s="1141">
        <f>IF(S32&gt;M32,0,(M32-S32)*Setup!$L$22)</f>
        <v>0</v>
      </c>
      <c r="U32" s="1141"/>
      <c r="V32" s="1141"/>
      <c r="W32" s="1141"/>
      <c r="X32" s="1141"/>
      <c r="Y32" s="1141"/>
      <c r="Z32" s="1141"/>
      <c r="AA32" s="1141"/>
      <c r="AB32" s="1141"/>
      <c r="AC32" s="1141"/>
      <c r="AD32" s="1141"/>
      <c r="AE32" s="1141"/>
      <c r="AF32" s="1141"/>
      <c r="AG32" s="1141"/>
      <c r="AH32" s="1141"/>
      <c r="AI32" s="1141"/>
      <c r="AJ32" s="1141"/>
      <c r="AK32" s="1141"/>
      <c r="AL32" s="1141"/>
      <c r="AM32" s="1141"/>
      <c r="AN32" s="1141"/>
      <c r="AO32" s="1141"/>
      <c r="AP32" s="1141"/>
      <c r="AQ32" s="1141"/>
      <c r="AR32" s="1141"/>
      <c r="AS32" s="1141"/>
      <c r="AT32" s="1141"/>
      <c r="AU32" s="1141"/>
      <c r="AV32" s="1141"/>
      <c r="AW32" s="1141"/>
      <c r="AX32" s="1141"/>
      <c r="AY32" s="1141"/>
      <c r="AZ32" s="1141"/>
      <c r="BA32" s="1141"/>
      <c r="BB32" s="1141"/>
      <c r="BC32" s="1141"/>
      <c r="BD32" s="1141"/>
      <c r="BE32" s="1141"/>
      <c r="BF32" s="1141"/>
      <c r="BG32" s="1141"/>
      <c r="BH32" s="1141"/>
      <c r="BI32" s="1141"/>
      <c r="BJ32" s="1141"/>
      <c r="BK32" s="1141"/>
      <c r="BL32" s="1141"/>
      <c r="BM32" s="1141"/>
      <c r="BN32" s="1141"/>
      <c r="BO32" s="1141"/>
      <c r="BP32" s="1141"/>
      <c r="BQ32" s="1141"/>
      <c r="BR32" s="1141"/>
      <c r="BS32" s="1141"/>
      <c r="BT32" s="1141"/>
      <c r="BU32" s="1141"/>
      <c r="BV32" s="1141"/>
      <c r="BW32" s="1141"/>
      <c r="BX32" s="1141"/>
      <c r="BY32" s="1141"/>
      <c r="BZ32" s="1141"/>
      <c r="CA32" s="1141"/>
      <c r="CB32" s="1141"/>
      <c r="CC32" s="1141"/>
      <c r="CD32" s="1141"/>
      <c r="CE32" s="1141"/>
      <c r="CF32" s="1141"/>
      <c r="CG32" s="1141"/>
      <c r="CH32" s="1141"/>
      <c r="CI32" s="1141"/>
      <c r="CJ32" s="1141"/>
      <c r="CK32" s="1141"/>
      <c r="CL32" s="1141"/>
      <c r="CM32" s="1141"/>
      <c r="CN32" s="1141"/>
      <c r="CO32" s="1141"/>
      <c r="CP32" s="1141"/>
    </row>
    <row r="33" spans="1:94">
      <c r="A33" s="1127">
        <v>28</v>
      </c>
      <c r="B33" s="1128"/>
      <c r="C33" s="1083" t="s">
        <v>319</v>
      </c>
      <c r="D33" s="1143">
        <f>ROUND(IF(F33=Lists!$D$5,E33,IF(F33=Lists!$D$6,E33*'Units&amp;Income'!$AV$94,IF(F33=Lists!$D$7,DevCosts!E33*Setup!$D$37,IF(F33=Lists!$D$8,E33*Setup!$D$38,IF(F33=Lists!$D$9,DevCosts!E33*DevCosts!$D$13,0))))),0)</f>
        <v>0</v>
      </c>
      <c r="E33" s="1130">
        <v>0</v>
      </c>
      <c r="F33" s="1131" t="s">
        <v>273</v>
      </c>
      <c r="G33" s="1132">
        <f>IF(Deal_Overview!$P$28=0,0,D33/Deal_Overview!$P$28)</f>
        <v>0</v>
      </c>
      <c r="H33" s="1133"/>
      <c r="I33" s="1134">
        <f t="shared" si="15"/>
        <v>0</v>
      </c>
      <c r="J33" s="1135">
        <f t="shared" si="15"/>
        <v>0</v>
      </c>
      <c r="K33" s="1136">
        <f t="shared" si="15"/>
        <v>0</v>
      </c>
      <c r="L33" s="1135">
        <f>SUM(I33:K33)*Setup!$L$3</f>
        <v>0</v>
      </c>
      <c r="M33" s="1135">
        <f>I33*Setup!$L$19</f>
        <v>0</v>
      </c>
      <c r="N33" s="1138">
        <f t="shared" si="16"/>
        <v>0</v>
      </c>
      <c r="O33" s="1139"/>
      <c r="P33" s="1137"/>
      <c r="Q33" s="1135">
        <f t="shared" si="7"/>
        <v>0</v>
      </c>
      <c r="R33" s="1155">
        <f t="shared" si="8"/>
        <v>0</v>
      </c>
      <c r="S33" s="1140">
        <f t="shared" ref="S33:S38" si="17">IF(SUM(I33:K33)&gt;0,(L33/SUM(I33:K33))*I33,0)</f>
        <v>0</v>
      </c>
      <c r="T33" s="1141">
        <f>IF(S33&gt;M33,0,(M33-S33)*Setup!$L$22)</f>
        <v>0</v>
      </c>
      <c r="U33" s="1141"/>
      <c r="V33" s="1141"/>
      <c r="W33" s="1141"/>
      <c r="X33" s="1141"/>
      <c r="Y33" s="1141"/>
      <c r="Z33" s="1141"/>
      <c r="AA33" s="1141"/>
      <c r="AB33" s="1141"/>
      <c r="AC33" s="1141"/>
      <c r="AD33" s="1141"/>
      <c r="AE33" s="1141"/>
      <c r="AF33" s="1141"/>
      <c r="AG33" s="1141"/>
      <c r="AH33" s="1141"/>
      <c r="AI33" s="1141"/>
      <c r="AJ33" s="1141"/>
      <c r="AK33" s="1141"/>
      <c r="AL33" s="1141"/>
      <c r="AM33" s="1141"/>
      <c r="AN33" s="1141"/>
      <c r="AO33" s="1141"/>
      <c r="AP33" s="1141"/>
      <c r="AQ33" s="1141"/>
      <c r="AR33" s="1141"/>
      <c r="AS33" s="1141"/>
      <c r="AT33" s="1141"/>
      <c r="AU33" s="1141"/>
      <c r="AV33" s="1141"/>
      <c r="AW33" s="1141"/>
      <c r="AX33" s="1141"/>
      <c r="AY33" s="1141"/>
      <c r="AZ33" s="1141"/>
      <c r="BA33" s="1141"/>
      <c r="BB33" s="1141"/>
      <c r="BC33" s="1141"/>
      <c r="BD33" s="1141"/>
      <c r="BE33" s="1141"/>
      <c r="BF33" s="1141"/>
      <c r="BG33" s="1141"/>
      <c r="BH33" s="1141"/>
      <c r="BI33" s="1141"/>
      <c r="BJ33" s="1141"/>
      <c r="BK33" s="1141"/>
      <c r="BL33" s="1141"/>
      <c r="BM33" s="1141"/>
      <c r="BN33" s="1141"/>
      <c r="BO33" s="1141"/>
      <c r="BP33" s="1141"/>
      <c r="BQ33" s="1141"/>
      <c r="BR33" s="1141"/>
      <c r="BS33" s="1141"/>
      <c r="BT33" s="1141"/>
      <c r="BU33" s="1141"/>
      <c r="BV33" s="1141"/>
      <c r="BW33" s="1141"/>
      <c r="BX33" s="1141"/>
      <c r="BY33" s="1141"/>
      <c r="BZ33" s="1141"/>
      <c r="CA33" s="1141"/>
      <c r="CB33" s="1141"/>
      <c r="CC33" s="1141"/>
      <c r="CD33" s="1141"/>
      <c r="CE33" s="1141"/>
      <c r="CF33" s="1141"/>
      <c r="CG33" s="1141"/>
      <c r="CH33" s="1141"/>
      <c r="CI33" s="1141"/>
      <c r="CJ33" s="1141"/>
      <c r="CK33" s="1141"/>
      <c r="CL33" s="1141"/>
      <c r="CM33" s="1141"/>
      <c r="CN33" s="1141"/>
      <c r="CO33" s="1141"/>
      <c r="CP33" s="1141"/>
    </row>
    <row r="34" spans="1:94">
      <c r="A34" s="1127">
        <v>29</v>
      </c>
      <c r="B34" s="1128"/>
      <c r="C34" s="1083" t="s">
        <v>320</v>
      </c>
      <c r="D34" s="1143">
        <f>ROUND(IF(F34=Lists!$D$5,E34,IF(F34=Lists!$D$6,E34*'Units&amp;Income'!$AV$94,IF(F34=Lists!$D$7,DevCosts!E34*Setup!$D$37,IF(F34=Lists!$D$8,E34*Setup!$D$38,IF(F34=Lists!$D$9,DevCosts!E34*DevCosts!$D$13,0))))),0)</f>
        <v>0</v>
      </c>
      <c r="E34" s="1130">
        <v>0</v>
      </c>
      <c r="F34" s="1131" t="s">
        <v>273</v>
      </c>
      <c r="G34" s="1132">
        <f>IF(Deal_Overview!$P$28=0,0,D34/Deal_Overview!$P$28)</f>
        <v>0</v>
      </c>
      <c r="H34" s="1133"/>
      <c r="I34" s="1134">
        <f t="shared" si="15"/>
        <v>0</v>
      </c>
      <c r="J34" s="1135">
        <f t="shared" si="15"/>
        <v>0</v>
      </c>
      <c r="K34" s="1136">
        <f t="shared" si="15"/>
        <v>0</v>
      </c>
      <c r="L34" s="1135">
        <f>SUM(I34:K34)*Setup!$L$3</f>
        <v>0</v>
      </c>
      <c r="M34" s="1135">
        <f>I34*Setup!$L$19</f>
        <v>0</v>
      </c>
      <c r="N34" s="1138">
        <f t="shared" si="16"/>
        <v>0</v>
      </c>
      <c r="O34" s="1139"/>
      <c r="P34" s="1137"/>
      <c r="Q34" s="1135">
        <f t="shared" si="7"/>
        <v>0</v>
      </c>
      <c r="R34" s="1155">
        <f t="shared" si="8"/>
        <v>0</v>
      </c>
      <c r="S34" s="1140">
        <f t="shared" si="17"/>
        <v>0</v>
      </c>
      <c r="T34" s="1141">
        <f>IF(S34&gt;M34,0,(M34-S34)*Setup!$L$22)</f>
        <v>0</v>
      </c>
      <c r="U34" s="1141"/>
      <c r="V34" s="1141"/>
      <c r="W34" s="1141"/>
      <c r="X34" s="1141"/>
      <c r="Y34" s="1141"/>
      <c r="Z34" s="1141"/>
      <c r="AA34" s="1141"/>
      <c r="AB34" s="1141"/>
      <c r="AC34" s="1141"/>
      <c r="AD34" s="1141"/>
      <c r="AE34" s="1141"/>
      <c r="AF34" s="1141"/>
      <c r="AG34" s="1141"/>
      <c r="AH34" s="1141"/>
      <c r="AI34" s="1141"/>
      <c r="AJ34" s="1141"/>
      <c r="AK34" s="1141"/>
      <c r="AL34" s="1141"/>
      <c r="AM34" s="1141"/>
      <c r="AN34" s="1141"/>
      <c r="AO34" s="1141"/>
      <c r="AP34" s="1141"/>
      <c r="AQ34" s="1141"/>
      <c r="AR34" s="1141"/>
      <c r="AS34" s="1141"/>
      <c r="AT34" s="1141"/>
      <c r="AU34" s="1141"/>
      <c r="AV34" s="1141"/>
      <c r="AW34" s="1141"/>
      <c r="AX34" s="1141"/>
      <c r="AY34" s="1141"/>
      <c r="AZ34" s="1141"/>
      <c r="BA34" s="1141"/>
      <c r="BB34" s="1141"/>
      <c r="BC34" s="1141"/>
      <c r="BD34" s="1141"/>
      <c r="BE34" s="1141"/>
      <c r="BF34" s="1141"/>
      <c r="BG34" s="1141"/>
      <c r="BH34" s="1141"/>
      <c r="BI34" s="1141"/>
      <c r="BJ34" s="1141"/>
      <c r="BK34" s="1141"/>
      <c r="BL34" s="1141"/>
      <c r="BM34" s="1141"/>
      <c r="BN34" s="1141"/>
      <c r="BO34" s="1141"/>
      <c r="BP34" s="1141"/>
      <c r="BQ34" s="1141"/>
      <c r="BR34" s="1141"/>
      <c r="BS34" s="1141"/>
      <c r="BT34" s="1141"/>
      <c r="BU34" s="1141"/>
      <c r="BV34" s="1141"/>
      <c r="BW34" s="1141"/>
      <c r="BX34" s="1141"/>
      <c r="BY34" s="1141"/>
      <c r="BZ34" s="1141"/>
      <c r="CA34" s="1141"/>
      <c r="CB34" s="1141"/>
      <c r="CC34" s="1141"/>
      <c r="CD34" s="1141"/>
      <c r="CE34" s="1141"/>
      <c r="CF34" s="1141"/>
      <c r="CG34" s="1141"/>
      <c r="CH34" s="1141"/>
      <c r="CI34" s="1141"/>
      <c r="CJ34" s="1141"/>
      <c r="CK34" s="1141"/>
      <c r="CL34" s="1141"/>
      <c r="CM34" s="1141"/>
      <c r="CN34" s="1141"/>
      <c r="CO34" s="1141"/>
      <c r="CP34" s="1141"/>
    </row>
    <row r="35" spans="1:94">
      <c r="A35" s="1127">
        <v>30</v>
      </c>
      <c r="B35" s="1128"/>
      <c r="C35" s="1083" t="s">
        <v>321</v>
      </c>
      <c r="D35" s="1143">
        <f>ROUND(IF(F35=Lists!$D$5,E35,IF(F35=Lists!$D$6,E35*'Units&amp;Income'!$AV$94,IF(F35=Lists!$D$7,DevCosts!E35*Setup!$D$37,IF(F35=Lists!$D$8,E35*Setup!$D$38,IF(F35=Lists!$D$9,DevCosts!E35*DevCosts!$D$13,0))))),0)</f>
        <v>0</v>
      </c>
      <c r="E35" s="1130">
        <v>0</v>
      </c>
      <c r="F35" s="1131" t="s">
        <v>273</v>
      </c>
      <c r="G35" s="1132">
        <f>IF(Deal_Overview!$P$28=0,0,D35/Deal_Overview!$P$28)</f>
        <v>0</v>
      </c>
      <c r="H35" s="1133"/>
      <c r="I35" s="1134">
        <f t="shared" si="15"/>
        <v>0</v>
      </c>
      <c r="J35" s="1135">
        <f t="shared" si="15"/>
        <v>0</v>
      </c>
      <c r="K35" s="1136">
        <f t="shared" si="15"/>
        <v>0</v>
      </c>
      <c r="L35" s="1135">
        <f>SUM(I35:K35)*Setup!$L$3</f>
        <v>0</v>
      </c>
      <c r="M35" s="1135">
        <f>I35*Setup!$L$19</f>
        <v>0</v>
      </c>
      <c r="N35" s="1138">
        <f t="shared" si="16"/>
        <v>0</v>
      </c>
      <c r="O35" s="1139"/>
      <c r="P35" s="1137"/>
      <c r="Q35" s="1135">
        <f t="shared" si="7"/>
        <v>0</v>
      </c>
      <c r="R35" s="1155">
        <f t="shared" si="8"/>
        <v>0</v>
      </c>
      <c r="S35" s="1140">
        <f t="shared" si="17"/>
        <v>0</v>
      </c>
      <c r="T35" s="1141">
        <f>IF(S35&gt;M35,0,(M35-S35)*Setup!$L$22)</f>
        <v>0</v>
      </c>
      <c r="U35" s="1141"/>
      <c r="V35" s="1141"/>
      <c r="W35" s="1141"/>
      <c r="X35" s="1141"/>
      <c r="Y35" s="1141"/>
      <c r="Z35" s="1141"/>
      <c r="AA35" s="1141"/>
      <c r="AB35" s="1141"/>
      <c r="AC35" s="1141"/>
      <c r="AD35" s="1141"/>
      <c r="AE35" s="1141"/>
      <c r="AF35" s="1141"/>
      <c r="AG35" s="1141"/>
      <c r="AH35" s="1141"/>
      <c r="AI35" s="1141"/>
      <c r="AJ35" s="1141"/>
      <c r="AK35" s="1141"/>
      <c r="AL35" s="1141"/>
      <c r="AM35" s="1141"/>
      <c r="AN35" s="1141"/>
      <c r="AO35" s="1141"/>
      <c r="AP35" s="1141"/>
      <c r="AQ35" s="1141"/>
      <c r="AR35" s="1141"/>
      <c r="AS35" s="1141"/>
      <c r="AT35" s="1141"/>
      <c r="AU35" s="1141"/>
      <c r="AV35" s="1141"/>
      <c r="AW35" s="1141"/>
      <c r="AX35" s="1141"/>
      <c r="AY35" s="1141"/>
      <c r="AZ35" s="1141"/>
      <c r="BA35" s="1141"/>
      <c r="BB35" s="1141"/>
      <c r="BC35" s="1141"/>
      <c r="BD35" s="1141"/>
      <c r="BE35" s="1141"/>
      <c r="BF35" s="1141"/>
      <c r="BG35" s="1141"/>
      <c r="BH35" s="1141"/>
      <c r="BI35" s="1141"/>
      <c r="BJ35" s="1141"/>
      <c r="BK35" s="1141"/>
      <c r="BL35" s="1141"/>
      <c r="BM35" s="1141"/>
      <c r="BN35" s="1141"/>
      <c r="BO35" s="1141"/>
      <c r="BP35" s="1141"/>
      <c r="BQ35" s="1141"/>
      <c r="BR35" s="1141"/>
      <c r="BS35" s="1141"/>
      <c r="BT35" s="1141"/>
      <c r="BU35" s="1141"/>
      <c r="BV35" s="1141"/>
      <c r="BW35" s="1141"/>
      <c r="BX35" s="1141"/>
      <c r="BY35" s="1141"/>
      <c r="BZ35" s="1141"/>
      <c r="CA35" s="1141"/>
      <c r="CB35" s="1141"/>
      <c r="CC35" s="1141"/>
      <c r="CD35" s="1141"/>
      <c r="CE35" s="1141"/>
      <c r="CF35" s="1141"/>
      <c r="CG35" s="1141"/>
      <c r="CH35" s="1141"/>
      <c r="CI35" s="1141"/>
      <c r="CJ35" s="1141"/>
      <c r="CK35" s="1141"/>
      <c r="CL35" s="1141"/>
      <c r="CM35" s="1141"/>
      <c r="CN35" s="1141"/>
      <c r="CO35" s="1141"/>
      <c r="CP35" s="1141"/>
    </row>
    <row r="36" spans="1:94">
      <c r="A36" s="1127">
        <v>31</v>
      </c>
      <c r="B36" s="1128"/>
      <c r="C36" s="1083" t="s">
        <v>322</v>
      </c>
      <c r="D36" s="1143">
        <f>ROUND(IF(F36=Lists!$D$5,E36,IF(F36=Lists!$D$6,E36*'Units&amp;Income'!$AV$94,IF(F36=Lists!$D$7,DevCosts!E36*Setup!$D$37,IF(F36=Lists!$D$8,E36*Setup!$D$38,IF(F36=Lists!$D$9,DevCosts!E36*DevCosts!$D$13,0))))),0)</f>
        <v>0</v>
      </c>
      <c r="E36" s="1130">
        <v>0</v>
      </c>
      <c r="F36" s="1131" t="s">
        <v>273</v>
      </c>
      <c r="G36" s="1132">
        <f>IF(Deal_Overview!$P$28=0,0,D36/Deal_Overview!$P$28)</f>
        <v>0</v>
      </c>
      <c r="H36" s="1133"/>
      <c r="I36" s="1134">
        <f t="shared" si="15"/>
        <v>0</v>
      </c>
      <c r="J36" s="1135">
        <f t="shared" si="15"/>
        <v>0</v>
      </c>
      <c r="K36" s="1136">
        <f t="shared" si="15"/>
        <v>0</v>
      </c>
      <c r="L36" s="1135">
        <f>SUM(I36:K36)*Setup!$L$3</f>
        <v>0</v>
      </c>
      <c r="M36" s="1135">
        <f>I36*Setup!$L$19</f>
        <v>0</v>
      </c>
      <c r="N36" s="1138">
        <f t="shared" si="16"/>
        <v>0</v>
      </c>
      <c r="O36" s="1139"/>
      <c r="P36" s="1137"/>
      <c r="Q36" s="1135">
        <f t="shared" si="7"/>
        <v>0</v>
      </c>
      <c r="R36" s="1155">
        <f t="shared" si="8"/>
        <v>0</v>
      </c>
      <c r="S36" s="1140">
        <f t="shared" si="17"/>
        <v>0</v>
      </c>
      <c r="T36" s="1141">
        <f>IF(S36&gt;M36,0,(M36-S36)*Setup!$L$22)</f>
        <v>0</v>
      </c>
      <c r="U36" s="1141"/>
      <c r="V36" s="1141"/>
      <c r="W36" s="1141"/>
      <c r="X36" s="1141"/>
      <c r="Y36" s="1141"/>
      <c r="Z36" s="1141"/>
      <c r="AA36" s="1141"/>
      <c r="AB36" s="1141"/>
      <c r="AC36" s="1141"/>
      <c r="AD36" s="1141"/>
      <c r="AE36" s="1141"/>
      <c r="AF36" s="1141"/>
      <c r="AG36" s="1141"/>
      <c r="AH36" s="1141"/>
      <c r="AI36" s="1141"/>
      <c r="AJ36" s="1141"/>
      <c r="AK36" s="1141"/>
      <c r="AL36" s="1141"/>
      <c r="AM36" s="1141"/>
      <c r="AN36" s="1141"/>
      <c r="AO36" s="1141"/>
      <c r="AP36" s="1141"/>
      <c r="AQ36" s="1141"/>
      <c r="AR36" s="1141"/>
      <c r="AS36" s="1141"/>
      <c r="AT36" s="1141"/>
      <c r="AU36" s="1141"/>
      <c r="AV36" s="1141"/>
      <c r="AW36" s="1141"/>
      <c r="AX36" s="1141"/>
      <c r="AY36" s="1141"/>
      <c r="AZ36" s="1141"/>
      <c r="BA36" s="1141"/>
      <c r="BB36" s="1141"/>
      <c r="BC36" s="1141"/>
      <c r="BD36" s="1141"/>
      <c r="BE36" s="1141"/>
      <c r="BF36" s="1141"/>
      <c r="BG36" s="1141"/>
      <c r="BH36" s="1141"/>
      <c r="BI36" s="1141"/>
      <c r="BJ36" s="1141"/>
      <c r="BK36" s="1141"/>
      <c r="BL36" s="1141"/>
      <c r="BM36" s="1141"/>
      <c r="BN36" s="1141"/>
      <c r="BO36" s="1141"/>
      <c r="BP36" s="1141"/>
      <c r="BQ36" s="1141"/>
      <c r="BR36" s="1141"/>
      <c r="BS36" s="1141"/>
      <c r="BT36" s="1141"/>
      <c r="BU36" s="1141"/>
      <c r="BV36" s="1141"/>
      <c r="BW36" s="1141"/>
      <c r="BX36" s="1141"/>
      <c r="BY36" s="1141"/>
      <c r="BZ36" s="1141"/>
      <c r="CA36" s="1141"/>
      <c r="CB36" s="1141"/>
      <c r="CC36" s="1141"/>
      <c r="CD36" s="1141"/>
      <c r="CE36" s="1141"/>
      <c r="CF36" s="1141"/>
      <c r="CG36" s="1141"/>
      <c r="CH36" s="1141"/>
      <c r="CI36" s="1141"/>
      <c r="CJ36" s="1141"/>
      <c r="CK36" s="1141"/>
      <c r="CL36" s="1141"/>
      <c r="CM36" s="1141"/>
      <c r="CN36" s="1141"/>
      <c r="CO36" s="1141"/>
      <c r="CP36" s="1141"/>
    </row>
    <row r="37" spans="1:94">
      <c r="A37" s="1127">
        <v>33</v>
      </c>
      <c r="B37" s="1128"/>
      <c r="C37" s="1083" t="s">
        <v>323</v>
      </c>
      <c r="D37" s="1143">
        <f>ROUND(IF(F37=Lists!$D$5,E37,IF(F37=Lists!$D$6,E37*'Units&amp;Income'!$AV$94,IF(F37=Lists!$D$7,DevCosts!E37*Setup!$D$37,IF(F37=Lists!$D$8,E37*Setup!$D$38,IF(F37=Lists!$D$9,DevCosts!E37*DevCosts!$D$13,0))))),0)</f>
        <v>0</v>
      </c>
      <c r="E37" s="1130">
        <v>0</v>
      </c>
      <c r="F37" s="1131" t="s">
        <v>273</v>
      </c>
      <c r="G37" s="1132">
        <f>IF(Deal_Overview!$P$28=0,0,D37/Deal_Overview!$P$28)</f>
        <v>0</v>
      </c>
      <c r="H37" s="1133"/>
      <c r="I37" s="1134">
        <f t="shared" si="15"/>
        <v>0</v>
      </c>
      <c r="J37" s="1135">
        <f t="shared" si="15"/>
        <v>0</v>
      </c>
      <c r="K37" s="1136">
        <f t="shared" si="15"/>
        <v>0</v>
      </c>
      <c r="L37" s="1135">
        <f>SUM(I37:K37)*Setup!$L$3</f>
        <v>0</v>
      </c>
      <c r="M37" s="1135">
        <f>I37*Setup!$L$19</f>
        <v>0</v>
      </c>
      <c r="N37" s="1138">
        <f t="shared" si="16"/>
        <v>0</v>
      </c>
      <c r="O37" s="1139"/>
      <c r="P37" s="1137"/>
      <c r="Q37" s="1135">
        <f t="shared" si="7"/>
        <v>0</v>
      </c>
      <c r="R37" s="1155">
        <f t="shared" si="8"/>
        <v>0</v>
      </c>
      <c r="S37" s="1140">
        <f t="shared" si="17"/>
        <v>0</v>
      </c>
      <c r="T37" s="1141">
        <f>IF(S37&gt;M37,0,(M37-S37)*Setup!$L$22)</f>
        <v>0</v>
      </c>
      <c r="U37" s="1141"/>
      <c r="V37" s="1141"/>
      <c r="W37" s="1141"/>
      <c r="X37" s="1141"/>
      <c r="Y37" s="1141"/>
      <c r="Z37" s="1141"/>
      <c r="AA37" s="1141"/>
      <c r="AB37" s="1141"/>
      <c r="AC37" s="1141"/>
      <c r="AD37" s="1141"/>
      <c r="AE37" s="1141"/>
      <c r="AF37" s="1141"/>
      <c r="AG37" s="1141"/>
      <c r="AH37" s="1141"/>
      <c r="AI37" s="1141"/>
      <c r="AJ37" s="1141"/>
      <c r="AK37" s="1141"/>
      <c r="AL37" s="1141"/>
      <c r="AM37" s="1141"/>
      <c r="AN37" s="1141"/>
      <c r="AO37" s="1141"/>
      <c r="AP37" s="1141"/>
      <c r="AQ37" s="1141"/>
      <c r="AR37" s="1141"/>
      <c r="AS37" s="1141"/>
      <c r="AT37" s="1141"/>
      <c r="AU37" s="1141"/>
      <c r="AV37" s="1141"/>
      <c r="AW37" s="1141"/>
      <c r="AX37" s="1141"/>
      <c r="AY37" s="1141"/>
      <c r="AZ37" s="1141"/>
      <c r="BA37" s="1141"/>
      <c r="BB37" s="1141"/>
      <c r="BC37" s="1141"/>
      <c r="BD37" s="1141"/>
      <c r="BE37" s="1141"/>
      <c r="BF37" s="1141"/>
      <c r="BG37" s="1141"/>
      <c r="BH37" s="1141"/>
      <c r="BI37" s="1141"/>
      <c r="BJ37" s="1141"/>
      <c r="BK37" s="1141"/>
      <c r="BL37" s="1141"/>
      <c r="BM37" s="1141"/>
      <c r="BN37" s="1141"/>
      <c r="BO37" s="1141"/>
      <c r="BP37" s="1141"/>
      <c r="BQ37" s="1141"/>
      <c r="BR37" s="1141"/>
      <c r="BS37" s="1141"/>
      <c r="BT37" s="1141"/>
      <c r="BU37" s="1141"/>
      <c r="BV37" s="1141"/>
      <c r="BW37" s="1141"/>
      <c r="BX37" s="1141"/>
      <c r="BY37" s="1141"/>
      <c r="BZ37" s="1141"/>
      <c r="CA37" s="1141"/>
      <c r="CB37" s="1141"/>
      <c r="CC37" s="1141"/>
      <c r="CD37" s="1141"/>
      <c r="CE37" s="1141"/>
      <c r="CF37" s="1141"/>
      <c r="CG37" s="1141"/>
      <c r="CH37" s="1141"/>
      <c r="CI37" s="1141"/>
      <c r="CJ37" s="1141"/>
      <c r="CK37" s="1141"/>
      <c r="CL37" s="1141"/>
      <c r="CM37" s="1141"/>
      <c r="CN37" s="1141"/>
      <c r="CO37" s="1141"/>
      <c r="CP37" s="1141"/>
    </row>
    <row r="38" spans="1:94">
      <c r="A38" s="1127">
        <v>32</v>
      </c>
      <c r="B38" s="1128"/>
      <c r="C38" s="1083" t="s">
        <v>316</v>
      </c>
      <c r="D38" s="1143">
        <f>ROUND(IF(F38=Lists!$D$5,E38,IF(F38=Lists!$D$6,E38*'Units&amp;Income'!$AV$94,IF(F38=Lists!$D$7,DevCosts!E38*Setup!$D$37,IF(F38=Lists!$D$8,E38*Setup!$D$38,IF(F38=Lists!$D$9,DevCosts!E38*SUM(D32:D37),0))))),0)</f>
        <v>0</v>
      </c>
      <c r="E38" s="1144">
        <v>0.1</v>
      </c>
      <c r="F38" s="1135" t="s">
        <v>302</v>
      </c>
      <c r="G38" s="1132">
        <f>IF(Deal_Overview!$P$28=0,0,D38/Deal_Overview!$P$28)</f>
        <v>0</v>
      </c>
      <c r="H38" s="1133"/>
      <c r="I38" s="1134">
        <f>$D38*0</f>
        <v>0</v>
      </c>
      <c r="J38" s="1135">
        <f>$D38*0</f>
        <v>0</v>
      </c>
      <c r="K38" s="1136">
        <f>$D38*0</f>
        <v>0</v>
      </c>
      <c r="L38" s="1135">
        <f>SUM(I38:K38)*Setup!$L$3</f>
        <v>0</v>
      </c>
      <c r="M38" s="1135">
        <f>I38*Setup!$L$19</f>
        <v>0</v>
      </c>
      <c r="N38" s="1138">
        <f>D38-SUM(I38:K38)</f>
        <v>0</v>
      </c>
      <c r="O38" s="1139"/>
      <c r="P38" s="1137"/>
      <c r="Q38" s="1135">
        <f>SUM(I38:K38)-L38-P38</f>
        <v>0</v>
      </c>
      <c r="R38" s="1155">
        <f>I38</f>
        <v>0</v>
      </c>
      <c r="S38" s="1140">
        <f t="shared" si="17"/>
        <v>0</v>
      </c>
      <c r="T38" s="1141">
        <f>IF(S38&gt;M38,0,(M38-S38)*Setup!$L$22)</f>
        <v>0</v>
      </c>
      <c r="U38" s="1141"/>
      <c r="V38" s="1141"/>
      <c r="W38" s="1141"/>
      <c r="X38" s="1141"/>
      <c r="Y38" s="1141"/>
      <c r="Z38" s="1141"/>
      <c r="AA38" s="1141"/>
      <c r="AB38" s="1141"/>
      <c r="AC38" s="1141"/>
      <c r="AD38" s="1141"/>
      <c r="AE38" s="1141"/>
      <c r="AF38" s="1141"/>
      <c r="AG38" s="1141"/>
      <c r="AH38" s="1141"/>
      <c r="AI38" s="1141"/>
      <c r="AJ38" s="1141"/>
      <c r="AK38" s="1141"/>
      <c r="AL38" s="1141"/>
      <c r="AM38" s="1141"/>
      <c r="AN38" s="1141"/>
      <c r="AO38" s="1141"/>
      <c r="AP38" s="1141"/>
      <c r="AQ38" s="1141"/>
      <c r="AR38" s="1141"/>
      <c r="AS38" s="1141"/>
      <c r="AT38" s="1141"/>
      <c r="AU38" s="1141"/>
      <c r="AV38" s="1141"/>
      <c r="AW38" s="1141"/>
      <c r="AX38" s="1141"/>
      <c r="AY38" s="1141"/>
      <c r="AZ38" s="1141"/>
      <c r="BA38" s="1141"/>
      <c r="BB38" s="1141"/>
      <c r="BC38" s="1141"/>
      <c r="BD38" s="1141"/>
      <c r="BE38" s="1141"/>
      <c r="BF38" s="1141"/>
      <c r="BG38" s="1141"/>
      <c r="BH38" s="1141"/>
      <c r="BI38" s="1141"/>
      <c r="BJ38" s="1141"/>
      <c r="BK38" s="1141"/>
      <c r="BL38" s="1141"/>
      <c r="BM38" s="1141"/>
      <c r="BN38" s="1141"/>
      <c r="BO38" s="1141"/>
      <c r="BP38" s="1141"/>
      <c r="BQ38" s="1141"/>
      <c r="BR38" s="1141"/>
      <c r="BS38" s="1141"/>
      <c r="BT38" s="1141"/>
      <c r="BU38" s="1141"/>
      <c r="BV38" s="1141"/>
      <c r="BW38" s="1141"/>
      <c r="BX38" s="1141"/>
      <c r="BY38" s="1141"/>
      <c r="BZ38" s="1141"/>
      <c r="CA38" s="1141"/>
      <c r="CB38" s="1141"/>
      <c r="CC38" s="1141"/>
      <c r="CD38" s="1141"/>
      <c r="CE38" s="1141"/>
      <c r="CF38" s="1141"/>
      <c r="CG38" s="1141"/>
      <c r="CH38" s="1141"/>
      <c r="CI38" s="1141"/>
      <c r="CJ38" s="1141"/>
      <c r="CK38" s="1141"/>
      <c r="CL38" s="1141"/>
      <c r="CM38" s="1141"/>
      <c r="CN38" s="1141"/>
      <c r="CO38" s="1141"/>
      <c r="CP38" s="1141"/>
    </row>
    <row r="39" spans="1:94" s="56" customFormat="1">
      <c r="A39" s="1146"/>
      <c r="B39" s="1919" t="s">
        <v>324</v>
      </c>
      <c r="C39" s="1919"/>
      <c r="D39" s="1147">
        <f>SUM(D32:D38)</f>
        <v>0</v>
      </c>
      <c r="E39" s="1148"/>
      <c r="F39" s="1149"/>
      <c r="G39" s="1147">
        <f>IF(Deal_Overview!$P$28=0,0,D39/Deal_Overview!$P$28)</f>
        <v>0</v>
      </c>
      <c r="H39" s="1150"/>
      <c r="I39" s="1151">
        <f t="shared" ref="I39:N39" si="18">SUM(I32:I38)</f>
        <v>0</v>
      </c>
      <c r="J39" s="1149">
        <f t="shared" si="18"/>
        <v>0</v>
      </c>
      <c r="K39" s="1152">
        <f t="shared" si="18"/>
        <v>0</v>
      </c>
      <c r="L39" s="1149">
        <f t="shared" si="18"/>
        <v>0</v>
      </c>
      <c r="M39" s="1149">
        <f t="shared" si="18"/>
        <v>0</v>
      </c>
      <c r="N39" s="1149">
        <f t="shared" si="18"/>
        <v>0</v>
      </c>
      <c r="O39" s="1153"/>
      <c r="P39" s="1149"/>
      <c r="Q39" s="1149">
        <f>SUM(Q32:Q38)</f>
        <v>0</v>
      </c>
      <c r="R39" s="1149">
        <f>I39</f>
        <v>0</v>
      </c>
      <c r="S39" s="1154"/>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row>
    <row r="40" spans="1:94" s="57" customFormat="1">
      <c r="A40" s="1127">
        <v>34</v>
      </c>
      <c r="B40" s="1128"/>
      <c r="C40" s="1083" t="s">
        <v>325</v>
      </c>
      <c r="D40" s="1143">
        <f>ROUND(IF(F40=Lists!$D$5,E40,IF(F40=Lists!$D$6,E40*'Units&amp;Income'!$AV$94,IF(F40=Lists!$D$7,DevCosts!E40*Setup!$D$37,IF(F40=Lists!$D$8,E40*Setup!$D$38,IF(F40=Lists!$D$9,DevCosts!E40*DevCosts!$D$13,0))))),0)</f>
        <v>0</v>
      </c>
      <c r="E40" s="1130">
        <v>0</v>
      </c>
      <c r="F40" s="1131" t="s">
        <v>273</v>
      </c>
      <c r="G40" s="1132">
        <f>IF(Deal_Overview!$P$28=0,0,D40/Deal_Overview!$P$28)</f>
        <v>0</v>
      </c>
      <c r="H40" s="1133"/>
      <c r="I40" s="1134">
        <f>D40*1</f>
        <v>0</v>
      </c>
      <c r="J40" s="1135">
        <f t="shared" ref="J40:K46" si="19">$D40*0</f>
        <v>0</v>
      </c>
      <c r="K40" s="1136">
        <f t="shared" si="19"/>
        <v>0</v>
      </c>
      <c r="L40" s="1135">
        <f>SUM(I40:K40)*Setup!$L$3</f>
        <v>0</v>
      </c>
      <c r="M40" s="1135">
        <f>I40*Setup!$L$19</f>
        <v>0</v>
      </c>
      <c r="N40" s="1138">
        <f t="shared" ref="N40:N46" si="20">D40-SUM(I40:K40)</f>
        <v>0</v>
      </c>
      <c r="O40" s="1139"/>
      <c r="P40" s="1137"/>
      <c r="Q40" s="1135">
        <f t="shared" si="7"/>
        <v>0</v>
      </c>
      <c r="R40" s="1155">
        <f t="shared" si="8"/>
        <v>0</v>
      </c>
      <c r="S40" s="1140">
        <f>IF(SUM(I40:K40)&gt;0,(L40/SUM(I40:K40))*I40,0)</f>
        <v>0</v>
      </c>
      <c r="T40" s="1141">
        <f>IF(S40&gt;M40,0,(M40-S40)*Setup!$L$22)</f>
        <v>0</v>
      </c>
      <c r="U40" s="1141"/>
      <c r="V40" s="1141"/>
      <c r="W40" s="1160"/>
      <c r="X40" s="1160"/>
      <c r="Y40" s="1160"/>
      <c r="Z40" s="1160"/>
      <c r="AA40" s="1160"/>
      <c r="AB40" s="1160"/>
      <c r="AC40" s="1160"/>
      <c r="AD40" s="1160"/>
      <c r="AE40" s="1160"/>
      <c r="AF40" s="1160"/>
      <c r="AG40" s="1160"/>
      <c r="AH40" s="1160"/>
      <c r="AI40" s="1160"/>
      <c r="AJ40" s="1160"/>
      <c r="AK40" s="1160"/>
      <c r="AL40" s="1160"/>
      <c r="AM40" s="1160"/>
      <c r="AN40" s="1160"/>
      <c r="AO40" s="1160"/>
      <c r="AP40" s="1160"/>
      <c r="AQ40" s="1160"/>
      <c r="AR40" s="1160"/>
      <c r="AS40" s="1160"/>
      <c r="AT40" s="1160"/>
      <c r="AU40" s="1160"/>
      <c r="AV40" s="1160"/>
      <c r="AW40" s="1160"/>
      <c r="AX40" s="1160"/>
      <c r="AY40" s="1160"/>
      <c r="AZ40" s="1160"/>
      <c r="BA40" s="1160"/>
      <c r="BB40" s="1160"/>
      <c r="BC40" s="1160"/>
      <c r="BD40" s="1160"/>
      <c r="BE40" s="1160"/>
      <c r="BF40" s="1160"/>
      <c r="BG40" s="1160"/>
      <c r="BH40" s="1160"/>
      <c r="BI40" s="1160"/>
      <c r="BJ40" s="1160"/>
      <c r="BK40" s="1160"/>
      <c r="BL40" s="1160"/>
      <c r="BM40" s="1160"/>
      <c r="BN40" s="1160"/>
      <c r="BO40" s="1160"/>
      <c r="BP40" s="1160"/>
      <c r="BQ40" s="1160"/>
      <c r="BR40" s="1160"/>
      <c r="BS40" s="1160"/>
      <c r="BT40" s="1160"/>
      <c r="BU40" s="1160"/>
      <c r="BV40" s="1160"/>
      <c r="BW40" s="1160"/>
      <c r="BX40" s="1160"/>
      <c r="BY40" s="1160"/>
      <c r="BZ40" s="1160"/>
      <c r="CA40" s="1160"/>
      <c r="CB40" s="1160"/>
      <c r="CC40" s="1160"/>
      <c r="CD40" s="1160"/>
      <c r="CE40" s="1160"/>
      <c r="CF40" s="1160"/>
      <c r="CG40" s="1160"/>
      <c r="CH40" s="1160"/>
      <c r="CI40" s="1160"/>
      <c r="CJ40" s="1160"/>
      <c r="CK40" s="1160"/>
      <c r="CL40" s="1160"/>
      <c r="CM40" s="1160"/>
      <c r="CN40" s="1160"/>
      <c r="CO40" s="1160"/>
      <c r="CP40" s="1160"/>
    </row>
    <row r="41" spans="1:94" s="57" customFormat="1">
      <c r="A41" s="1127">
        <v>35</v>
      </c>
      <c r="B41" s="1128"/>
      <c r="C41" s="1083" t="s">
        <v>326</v>
      </c>
      <c r="D41" s="1143">
        <f>ROUND(IF(F41=Lists!$D$5,E41,IF(F41=Lists!$D$6,E41*'Units&amp;Income'!$AV$94,IF(F41=Lists!$D$7,DevCosts!E41*Setup!$D$37,IF(F41=Lists!$D$8,E41*Setup!$D$38,IF(F41=Lists!$D$9,DevCosts!E41*DevCosts!$D$13,0))))),0)</f>
        <v>0</v>
      </c>
      <c r="E41" s="1130">
        <v>0</v>
      </c>
      <c r="F41" s="1131" t="s">
        <v>273</v>
      </c>
      <c r="G41" s="1132">
        <f>IF(Deal_Overview!$P$28=0,0,D41/Deal_Overview!$P$28)</f>
        <v>0</v>
      </c>
      <c r="H41" s="1133"/>
      <c r="I41" s="1134">
        <f>D41*1</f>
        <v>0</v>
      </c>
      <c r="J41" s="1135">
        <f t="shared" si="19"/>
        <v>0</v>
      </c>
      <c r="K41" s="1136">
        <f t="shared" si="19"/>
        <v>0</v>
      </c>
      <c r="L41" s="1135">
        <f>SUM(I41:K41)*Setup!$L$3</f>
        <v>0</v>
      </c>
      <c r="M41" s="1135">
        <f>I41*Setup!$L$19</f>
        <v>0</v>
      </c>
      <c r="N41" s="1138">
        <f t="shared" si="20"/>
        <v>0</v>
      </c>
      <c r="O41" s="1139"/>
      <c r="P41" s="1137"/>
      <c r="Q41" s="1135">
        <f t="shared" si="7"/>
        <v>0</v>
      </c>
      <c r="R41" s="1155">
        <f t="shared" si="8"/>
        <v>0</v>
      </c>
      <c r="S41" s="1140">
        <f t="shared" ref="S41:S46" si="21">IF(SUM(I41:K41)&gt;0,(L41/SUM(I41:K41))*I41,0)</f>
        <v>0</v>
      </c>
      <c r="T41" s="1141">
        <f>IF(S41&gt;M41,0,(M41-S41)*Setup!$L$22)</f>
        <v>0</v>
      </c>
      <c r="U41" s="1141"/>
      <c r="V41" s="1141"/>
      <c r="W41" s="1160"/>
      <c r="X41" s="1160"/>
      <c r="Y41" s="1160"/>
      <c r="Z41" s="1160"/>
      <c r="AA41" s="1160"/>
      <c r="AB41" s="1160"/>
      <c r="AC41" s="1160"/>
      <c r="AD41" s="1160"/>
      <c r="AE41" s="1160"/>
      <c r="AF41" s="1160"/>
      <c r="AG41" s="1160"/>
      <c r="AH41" s="1160"/>
      <c r="AI41" s="1160"/>
      <c r="AJ41" s="1160"/>
      <c r="AK41" s="1160"/>
      <c r="AL41" s="1160"/>
      <c r="AM41" s="1160"/>
      <c r="AN41" s="1160"/>
      <c r="AO41" s="1160"/>
      <c r="AP41" s="1160"/>
      <c r="AQ41" s="1160"/>
      <c r="AR41" s="1160"/>
      <c r="AS41" s="1160"/>
      <c r="AT41" s="1160"/>
      <c r="AU41" s="1160"/>
      <c r="AV41" s="1160"/>
      <c r="AW41" s="1160"/>
      <c r="AX41" s="1160"/>
      <c r="AY41" s="1160"/>
      <c r="AZ41" s="1160"/>
      <c r="BA41" s="1160"/>
      <c r="BB41" s="1160"/>
      <c r="BC41" s="1160"/>
      <c r="BD41" s="1160"/>
      <c r="BE41" s="1160"/>
      <c r="BF41" s="1160"/>
      <c r="BG41" s="1160"/>
      <c r="BH41" s="1160"/>
      <c r="BI41" s="1160"/>
      <c r="BJ41" s="1160"/>
      <c r="BK41" s="1160"/>
      <c r="BL41" s="1160"/>
      <c r="BM41" s="1160"/>
      <c r="BN41" s="1160"/>
      <c r="BO41" s="1160"/>
      <c r="BP41" s="1160"/>
      <c r="BQ41" s="1160"/>
      <c r="BR41" s="1160"/>
      <c r="BS41" s="1160"/>
      <c r="BT41" s="1160"/>
      <c r="BU41" s="1160"/>
      <c r="BV41" s="1160"/>
      <c r="BW41" s="1160"/>
      <c r="BX41" s="1160"/>
      <c r="BY41" s="1160"/>
      <c r="BZ41" s="1160"/>
      <c r="CA41" s="1160"/>
      <c r="CB41" s="1160"/>
      <c r="CC41" s="1160"/>
      <c r="CD41" s="1160"/>
      <c r="CE41" s="1160"/>
      <c r="CF41" s="1160"/>
      <c r="CG41" s="1160"/>
      <c r="CH41" s="1160"/>
      <c r="CI41" s="1160"/>
      <c r="CJ41" s="1160"/>
      <c r="CK41" s="1160"/>
      <c r="CL41" s="1160"/>
      <c r="CM41" s="1160"/>
      <c r="CN41" s="1160"/>
      <c r="CO41" s="1160"/>
      <c r="CP41" s="1160"/>
    </row>
    <row r="42" spans="1:94" s="57" customFormat="1">
      <c r="A42" s="1127">
        <v>36</v>
      </c>
      <c r="B42" s="1128"/>
      <c r="C42" s="1083" t="s">
        <v>327</v>
      </c>
      <c r="D42" s="1143">
        <f>ROUND(IF(F42=Lists!$D$5,E42,IF(F42=Lists!$D$6,E42*'Units&amp;Income'!$AV$94,IF(F42=Lists!$D$7,DevCosts!E42*Setup!$D$37,IF(F42=Lists!$D$8,E42*Setup!$D$38,IF(F42=Lists!$D$9,DevCosts!E42*DevCosts!$D$13,0))))),0)</f>
        <v>0</v>
      </c>
      <c r="E42" s="1130">
        <v>0</v>
      </c>
      <c r="F42" s="1131" t="s">
        <v>273</v>
      </c>
      <c r="G42" s="1132">
        <f>IF(Deal_Overview!$P$28=0,0,D42/Deal_Overview!$P$28)</f>
        <v>0</v>
      </c>
      <c r="H42" s="1133"/>
      <c r="I42" s="1134">
        <f>D42*1</f>
        <v>0</v>
      </c>
      <c r="J42" s="1135">
        <f t="shared" si="19"/>
        <v>0</v>
      </c>
      <c r="K42" s="1136">
        <f t="shared" si="19"/>
        <v>0</v>
      </c>
      <c r="L42" s="1135">
        <f>SUM(I42:K42)*Setup!$L$3</f>
        <v>0</v>
      </c>
      <c r="M42" s="1135">
        <f>I42*Setup!$L$19</f>
        <v>0</v>
      </c>
      <c r="N42" s="1138">
        <f t="shared" si="20"/>
        <v>0</v>
      </c>
      <c r="O42" s="1139"/>
      <c r="P42" s="1137"/>
      <c r="Q42" s="1135">
        <f t="shared" si="7"/>
        <v>0</v>
      </c>
      <c r="R42" s="1155">
        <f t="shared" si="8"/>
        <v>0</v>
      </c>
      <c r="S42" s="1140">
        <f t="shared" si="21"/>
        <v>0</v>
      </c>
      <c r="T42" s="1141">
        <f>IF(S42&gt;M42,0,(M42-S42)*Setup!$L$22)</f>
        <v>0</v>
      </c>
      <c r="U42" s="1141"/>
      <c r="V42" s="1141"/>
      <c r="W42" s="1160"/>
      <c r="X42" s="1160"/>
      <c r="Y42" s="1160"/>
      <c r="Z42" s="1160"/>
      <c r="AA42" s="1160"/>
      <c r="AB42" s="1160"/>
      <c r="AC42" s="1160"/>
      <c r="AD42" s="1160"/>
      <c r="AE42" s="1160"/>
      <c r="AF42" s="1160"/>
      <c r="AG42" s="1160"/>
      <c r="AH42" s="1160"/>
      <c r="AI42" s="1160"/>
      <c r="AJ42" s="1160"/>
      <c r="AK42" s="1160"/>
      <c r="AL42" s="1160"/>
      <c r="AM42" s="1160"/>
      <c r="AN42" s="1160"/>
      <c r="AO42" s="1160"/>
      <c r="AP42" s="1160"/>
      <c r="AQ42" s="1160"/>
      <c r="AR42" s="1160"/>
      <c r="AS42" s="1160"/>
      <c r="AT42" s="1160"/>
      <c r="AU42" s="1160"/>
      <c r="AV42" s="1160"/>
      <c r="AW42" s="1160"/>
      <c r="AX42" s="1160"/>
      <c r="AY42" s="1160"/>
      <c r="AZ42" s="1160"/>
      <c r="BA42" s="1160"/>
      <c r="BB42" s="1160"/>
      <c r="BC42" s="1160"/>
      <c r="BD42" s="1160"/>
      <c r="BE42" s="1160"/>
      <c r="BF42" s="1160"/>
      <c r="BG42" s="1160"/>
      <c r="BH42" s="1160"/>
      <c r="BI42" s="1160"/>
      <c r="BJ42" s="1160"/>
      <c r="BK42" s="1160"/>
      <c r="BL42" s="1160"/>
      <c r="BM42" s="1160"/>
      <c r="BN42" s="1160"/>
      <c r="BO42" s="1160"/>
      <c r="BP42" s="1160"/>
      <c r="BQ42" s="1160"/>
      <c r="BR42" s="1160"/>
      <c r="BS42" s="1160"/>
      <c r="BT42" s="1160"/>
      <c r="BU42" s="1160"/>
      <c r="BV42" s="1160"/>
      <c r="BW42" s="1160"/>
      <c r="BX42" s="1160"/>
      <c r="BY42" s="1160"/>
      <c r="BZ42" s="1160"/>
      <c r="CA42" s="1160"/>
      <c r="CB42" s="1160"/>
      <c r="CC42" s="1160"/>
      <c r="CD42" s="1160"/>
      <c r="CE42" s="1160"/>
      <c r="CF42" s="1160"/>
      <c r="CG42" s="1160"/>
      <c r="CH42" s="1160"/>
      <c r="CI42" s="1160"/>
      <c r="CJ42" s="1160"/>
      <c r="CK42" s="1160"/>
      <c r="CL42" s="1160"/>
      <c r="CM42" s="1160"/>
      <c r="CN42" s="1160"/>
      <c r="CO42" s="1160"/>
      <c r="CP42" s="1160"/>
    </row>
    <row r="43" spans="1:94" s="57" customFormat="1">
      <c r="A43" s="1127">
        <v>37</v>
      </c>
      <c r="B43" s="1128"/>
      <c r="C43" s="1083" t="s">
        <v>328</v>
      </c>
      <c r="D43" s="1143">
        <f>ROUND(IF(F43=Lists!$D$5,E43,IF(F43=Lists!$D$6,E43*'Units&amp;Income'!$AV$94,IF(F43=Lists!$D$7,DevCosts!E43*Setup!$D$37,IF(F43=Lists!$D$8,E43*Setup!$D$38,IF(F43=Lists!$D$9,DevCosts!E43*DevCosts!$D$13,0))))),0)</f>
        <v>0</v>
      </c>
      <c r="E43" s="1130">
        <v>0</v>
      </c>
      <c r="F43" s="1131" t="s">
        <v>273</v>
      </c>
      <c r="G43" s="1132">
        <f>IF(Deal_Overview!$P$28=0,0,D43/Deal_Overview!$P$28)</f>
        <v>0</v>
      </c>
      <c r="H43" s="1133"/>
      <c r="I43" s="1134">
        <f>D43*1</f>
        <v>0</v>
      </c>
      <c r="J43" s="1135">
        <f t="shared" si="19"/>
        <v>0</v>
      </c>
      <c r="K43" s="1136">
        <f t="shared" si="19"/>
        <v>0</v>
      </c>
      <c r="L43" s="1135">
        <f>SUM(I43:K43)*Setup!$L$3</f>
        <v>0</v>
      </c>
      <c r="M43" s="1135">
        <f>I43*Setup!$L$19</f>
        <v>0</v>
      </c>
      <c r="N43" s="1138">
        <f t="shared" si="20"/>
        <v>0</v>
      </c>
      <c r="O43" s="1139"/>
      <c r="P43" s="1137"/>
      <c r="Q43" s="1135">
        <f t="shared" si="7"/>
        <v>0</v>
      </c>
      <c r="R43" s="1155">
        <f t="shared" si="8"/>
        <v>0</v>
      </c>
      <c r="S43" s="1140">
        <f t="shared" si="21"/>
        <v>0</v>
      </c>
      <c r="T43" s="1141">
        <f>IF(S43&gt;M43,0,(M43-S43)*Setup!$L$22)</f>
        <v>0</v>
      </c>
      <c r="U43" s="1141"/>
      <c r="V43" s="1141"/>
      <c r="W43" s="1160"/>
      <c r="X43" s="1160"/>
      <c r="Y43" s="1160"/>
      <c r="Z43" s="1160"/>
      <c r="AA43" s="1160"/>
      <c r="AB43" s="1160"/>
      <c r="AC43" s="1160"/>
      <c r="AD43" s="1160"/>
      <c r="AE43" s="1160"/>
      <c r="AF43" s="1160"/>
      <c r="AG43" s="1160"/>
      <c r="AH43" s="1160"/>
      <c r="AI43" s="1160"/>
      <c r="AJ43" s="1160"/>
      <c r="AK43" s="1160"/>
      <c r="AL43" s="1160"/>
      <c r="AM43" s="1160"/>
      <c r="AN43" s="1160"/>
      <c r="AO43" s="1160"/>
      <c r="AP43" s="1160"/>
      <c r="AQ43" s="1160"/>
      <c r="AR43" s="1160"/>
      <c r="AS43" s="1160"/>
      <c r="AT43" s="1160"/>
      <c r="AU43" s="1160"/>
      <c r="AV43" s="1160"/>
      <c r="AW43" s="1160"/>
      <c r="AX43" s="1160"/>
      <c r="AY43" s="1160"/>
      <c r="AZ43" s="1160"/>
      <c r="BA43" s="1160"/>
      <c r="BB43" s="1160"/>
      <c r="BC43" s="1160"/>
      <c r="BD43" s="1160"/>
      <c r="BE43" s="1160"/>
      <c r="BF43" s="1160"/>
      <c r="BG43" s="1160"/>
      <c r="BH43" s="1160"/>
      <c r="BI43" s="1160"/>
      <c r="BJ43" s="1160"/>
      <c r="BK43" s="1160"/>
      <c r="BL43" s="1160"/>
      <c r="BM43" s="1160"/>
      <c r="BN43" s="1160"/>
      <c r="BO43" s="1160"/>
      <c r="BP43" s="1160"/>
      <c r="BQ43" s="1160"/>
      <c r="BR43" s="1160"/>
      <c r="BS43" s="1160"/>
      <c r="BT43" s="1160"/>
      <c r="BU43" s="1160"/>
      <c r="BV43" s="1160"/>
      <c r="BW43" s="1160"/>
      <c r="BX43" s="1160"/>
      <c r="BY43" s="1160"/>
      <c r="BZ43" s="1160"/>
      <c r="CA43" s="1160"/>
      <c r="CB43" s="1160"/>
      <c r="CC43" s="1160"/>
      <c r="CD43" s="1160"/>
      <c r="CE43" s="1160"/>
      <c r="CF43" s="1160"/>
      <c r="CG43" s="1160"/>
      <c r="CH43" s="1160"/>
      <c r="CI43" s="1160"/>
      <c r="CJ43" s="1160"/>
      <c r="CK43" s="1160"/>
      <c r="CL43" s="1160"/>
      <c r="CM43" s="1160"/>
      <c r="CN43" s="1160"/>
      <c r="CO43" s="1160"/>
      <c r="CP43" s="1160"/>
    </row>
    <row r="44" spans="1:94" s="57" customFormat="1">
      <c r="A44" s="1127">
        <v>38</v>
      </c>
      <c r="B44" s="1128"/>
      <c r="C44" s="1083" t="s">
        <v>329</v>
      </c>
      <c r="D44" s="1143">
        <f>ROUND(IF(F44=Lists!$D$5,E44,IF(F44=Lists!$D$6,E44*'Units&amp;Income'!$AV$94,IF(F44=Lists!$D$7,DevCosts!E44*Setup!$D$37,IF(F44=Lists!$D$8,E44*Setup!$D$38,IF(F44=Lists!$D$9,DevCosts!E44*DevCosts!$D$13,0))))),0)</f>
        <v>0</v>
      </c>
      <c r="E44" s="1130">
        <v>0</v>
      </c>
      <c r="F44" s="1131" t="s">
        <v>273</v>
      </c>
      <c r="G44" s="1132">
        <f>IF(Deal_Overview!$P$28=0,0,D44/Deal_Overview!$P$28)</f>
        <v>0</v>
      </c>
      <c r="H44" s="1133"/>
      <c r="I44" s="1134">
        <f>D44*1</f>
        <v>0</v>
      </c>
      <c r="J44" s="1135">
        <f t="shared" si="19"/>
        <v>0</v>
      </c>
      <c r="K44" s="1136">
        <f t="shared" si="19"/>
        <v>0</v>
      </c>
      <c r="L44" s="1135">
        <f>SUM(I44:K44)*Setup!$L$3</f>
        <v>0</v>
      </c>
      <c r="M44" s="1135">
        <f>I44*Setup!$L$19</f>
        <v>0</v>
      </c>
      <c r="N44" s="1138">
        <f t="shared" si="20"/>
        <v>0</v>
      </c>
      <c r="O44" s="1139"/>
      <c r="P44" s="1137"/>
      <c r="Q44" s="1135">
        <f t="shared" si="7"/>
        <v>0</v>
      </c>
      <c r="R44" s="1155">
        <f t="shared" si="8"/>
        <v>0</v>
      </c>
      <c r="S44" s="1140">
        <f t="shared" si="21"/>
        <v>0</v>
      </c>
      <c r="T44" s="1141">
        <f>IF(S44&gt;M44,0,(M44-S44)*Setup!$L$22)</f>
        <v>0</v>
      </c>
      <c r="U44" s="1141"/>
      <c r="V44" s="1141"/>
      <c r="W44" s="1160"/>
      <c r="X44" s="1160"/>
      <c r="Y44" s="1160"/>
      <c r="Z44" s="1160"/>
      <c r="AA44" s="1160"/>
      <c r="AB44" s="1160"/>
      <c r="AC44" s="1160"/>
      <c r="AD44" s="1160"/>
      <c r="AE44" s="1160"/>
      <c r="AF44" s="1160"/>
      <c r="AG44" s="1160"/>
      <c r="AH44" s="1160"/>
      <c r="AI44" s="1160"/>
      <c r="AJ44" s="1160"/>
      <c r="AK44" s="1160"/>
      <c r="AL44" s="1160"/>
      <c r="AM44" s="1160"/>
      <c r="AN44" s="1160"/>
      <c r="AO44" s="1160"/>
      <c r="AP44" s="1160"/>
      <c r="AQ44" s="1160"/>
      <c r="AR44" s="1160"/>
      <c r="AS44" s="1160"/>
      <c r="AT44" s="1160"/>
      <c r="AU44" s="1160"/>
      <c r="AV44" s="1160"/>
      <c r="AW44" s="1160"/>
      <c r="AX44" s="1160"/>
      <c r="AY44" s="1160"/>
      <c r="AZ44" s="1160"/>
      <c r="BA44" s="1160"/>
      <c r="BB44" s="1160"/>
      <c r="BC44" s="1160"/>
      <c r="BD44" s="1160"/>
      <c r="BE44" s="1160"/>
      <c r="BF44" s="1160"/>
      <c r="BG44" s="1160"/>
      <c r="BH44" s="1160"/>
      <c r="BI44" s="1160"/>
      <c r="BJ44" s="1160"/>
      <c r="BK44" s="1160"/>
      <c r="BL44" s="1160"/>
      <c r="BM44" s="1160"/>
      <c r="BN44" s="1160"/>
      <c r="BO44" s="1160"/>
      <c r="BP44" s="1160"/>
      <c r="BQ44" s="1160"/>
      <c r="BR44" s="1160"/>
      <c r="BS44" s="1160"/>
      <c r="BT44" s="1160"/>
      <c r="BU44" s="1160"/>
      <c r="BV44" s="1160"/>
      <c r="BW44" s="1160"/>
      <c r="BX44" s="1160"/>
      <c r="BY44" s="1160"/>
      <c r="BZ44" s="1160"/>
      <c r="CA44" s="1160"/>
      <c r="CB44" s="1160"/>
      <c r="CC44" s="1160"/>
      <c r="CD44" s="1160"/>
      <c r="CE44" s="1160"/>
      <c r="CF44" s="1160"/>
      <c r="CG44" s="1160"/>
      <c r="CH44" s="1160"/>
      <c r="CI44" s="1160"/>
      <c r="CJ44" s="1160"/>
      <c r="CK44" s="1160"/>
      <c r="CL44" s="1160"/>
      <c r="CM44" s="1160"/>
      <c r="CN44" s="1160"/>
      <c r="CO44" s="1160"/>
      <c r="CP44" s="1160"/>
    </row>
    <row r="45" spans="1:94">
      <c r="A45" s="1127">
        <v>40</v>
      </c>
      <c r="B45" s="1128"/>
      <c r="C45" s="1083" t="s">
        <v>330</v>
      </c>
      <c r="D45" s="1143">
        <f>ROUND(IF(F45=Lists!$D$5,E45,IF(F45=Lists!$D$6,E45*'Units&amp;Income'!$AV$94,IF(F45=Lists!$D$7,DevCosts!E45*Setup!$D$37,IF(F45=Lists!$D$8,E45*Setup!$D$38,IF(F45=Lists!$D$9,DevCosts!E45*DevCosts!$D$13,0))))),0)</f>
        <v>0</v>
      </c>
      <c r="E45" s="1130">
        <v>0</v>
      </c>
      <c r="F45" s="1131" t="s">
        <v>273</v>
      </c>
      <c r="G45" s="1132">
        <f>IF(Deal_Overview!$P$28=0,0,D45/Deal_Overview!$P$28)</f>
        <v>0</v>
      </c>
      <c r="H45" s="1133"/>
      <c r="I45" s="1134">
        <f>$D45*1</f>
        <v>0</v>
      </c>
      <c r="J45" s="1135">
        <f>$D45*0</f>
        <v>0</v>
      </c>
      <c r="K45" s="1136">
        <f>$D45*0</f>
        <v>0</v>
      </c>
      <c r="L45" s="1135">
        <f>SUM(I45:K45)*Setup!$L$3</f>
        <v>0</v>
      </c>
      <c r="M45" s="1135">
        <f>I45*Setup!$L$19</f>
        <v>0</v>
      </c>
      <c r="N45" s="1138">
        <f>D45-SUM(I45:K45)</f>
        <v>0</v>
      </c>
      <c r="O45" s="1139"/>
      <c r="P45" s="1137"/>
      <c r="Q45" s="1135">
        <f>SUM(I45:K45)-L45-P45</f>
        <v>0</v>
      </c>
      <c r="R45" s="1155">
        <f>I45</f>
        <v>0</v>
      </c>
      <c r="S45" s="1140">
        <f t="shared" si="21"/>
        <v>0</v>
      </c>
      <c r="T45" s="1141">
        <f>IF(S45&gt;M45,0,(M45-S45)*Setup!$L$22)</f>
        <v>0</v>
      </c>
      <c r="U45" s="1141"/>
      <c r="V45" s="1141"/>
      <c r="W45" s="1141"/>
      <c r="X45" s="1141"/>
      <c r="Y45" s="1141"/>
      <c r="Z45" s="1141"/>
      <c r="AA45" s="1141"/>
      <c r="AB45" s="1141"/>
      <c r="AC45" s="1141"/>
      <c r="AD45" s="1141"/>
      <c r="AE45" s="1141"/>
      <c r="AF45" s="1141"/>
      <c r="AG45" s="1141"/>
      <c r="AH45" s="1141"/>
      <c r="AI45" s="1141"/>
      <c r="AJ45" s="1141"/>
      <c r="AK45" s="1141"/>
      <c r="AL45" s="1141"/>
      <c r="AM45" s="1141"/>
      <c r="AN45" s="1141"/>
      <c r="AO45" s="1141"/>
      <c r="AP45" s="1141"/>
      <c r="AQ45" s="1141"/>
      <c r="AR45" s="1141"/>
      <c r="AS45" s="1141"/>
      <c r="AT45" s="1141"/>
      <c r="AU45" s="1141"/>
      <c r="AV45" s="1141"/>
      <c r="AW45" s="1141"/>
      <c r="AX45" s="1141"/>
      <c r="AY45" s="1141"/>
      <c r="AZ45" s="1141"/>
      <c r="BA45" s="1141"/>
      <c r="BB45" s="1141"/>
      <c r="BC45" s="1141"/>
      <c r="BD45" s="1141"/>
      <c r="BE45" s="1141"/>
      <c r="BF45" s="1141"/>
      <c r="BG45" s="1141"/>
      <c r="BH45" s="1141"/>
      <c r="BI45" s="1141"/>
      <c r="BJ45" s="1141"/>
      <c r="BK45" s="1141"/>
      <c r="BL45" s="1141"/>
      <c r="BM45" s="1141"/>
      <c r="BN45" s="1141"/>
      <c r="BO45" s="1141"/>
      <c r="BP45" s="1141"/>
      <c r="BQ45" s="1141"/>
      <c r="BR45" s="1141"/>
      <c r="BS45" s="1141"/>
      <c r="BT45" s="1141"/>
      <c r="BU45" s="1141"/>
      <c r="BV45" s="1141"/>
      <c r="BW45" s="1141"/>
      <c r="BX45" s="1141"/>
      <c r="BY45" s="1141"/>
      <c r="BZ45" s="1141"/>
      <c r="CA45" s="1141"/>
      <c r="CB45" s="1141"/>
      <c r="CC45" s="1141"/>
      <c r="CD45" s="1141"/>
      <c r="CE45" s="1141"/>
      <c r="CF45" s="1141"/>
      <c r="CG45" s="1141"/>
      <c r="CH45" s="1141"/>
      <c r="CI45" s="1141"/>
      <c r="CJ45" s="1141"/>
      <c r="CK45" s="1141"/>
      <c r="CL45" s="1141"/>
      <c r="CM45" s="1141"/>
      <c r="CN45" s="1141"/>
      <c r="CO45" s="1141"/>
      <c r="CP45" s="1141"/>
    </row>
    <row r="46" spans="1:94">
      <c r="A46" s="1127">
        <v>39</v>
      </c>
      <c r="B46" s="1128"/>
      <c r="C46" s="1083" t="s">
        <v>316</v>
      </c>
      <c r="D46" s="1143">
        <f>ROUND(IF(F46=Lists!$D$5,E46,IF(F46=Lists!$D$6,E46*'Units&amp;Income'!$AV$94,IF(F46=Lists!$D$7,DevCosts!E46*Setup!$D$37,IF(F46=Lists!$D$8,E46*Setup!$D$38,IF(F46=Lists!$D$9,DevCosts!E46*SUM(D40,D42:D45),0))))),0)</f>
        <v>0</v>
      </c>
      <c r="E46" s="1144">
        <v>0.1</v>
      </c>
      <c r="F46" s="1135" t="s">
        <v>302</v>
      </c>
      <c r="G46" s="1132">
        <f>IF(Deal_Overview!$P$28=0,0,D46/Deal_Overview!$P$28)</f>
        <v>0</v>
      </c>
      <c r="H46" s="1133"/>
      <c r="I46" s="1134">
        <f>$D46*0</f>
        <v>0</v>
      </c>
      <c r="J46" s="1135">
        <f t="shared" si="19"/>
        <v>0</v>
      </c>
      <c r="K46" s="1136">
        <f t="shared" si="19"/>
        <v>0</v>
      </c>
      <c r="L46" s="1135">
        <f>SUM(I46:K46)*Setup!$L$3</f>
        <v>0</v>
      </c>
      <c r="M46" s="1135">
        <f>I46*Setup!$L$19</f>
        <v>0</v>
      </c>
      <c r="N46" s="1138">
        <f t="shared" si="20"/>
        <v>0</v>
      </c>
      <c r="O46" s="1139"/>
      <c r="P46" s="1137"/>
      <c r="Q46" s="1135">
        <f t="shared" si="7"/>
        <v>0</v>
      </c>
      <c r="R46" s="1155">
        <f t="shared" si="8"/>
        <v>0</v>
      </c>
      <c r="S46" s="1140">
        <f t="shared" si="21"/>
        <v>0</v>
      </c>
      <c r="T46" s="1141">
        <f>IF(S46&gt;M46,0,(M46-S46)*Setup!$L$22)</f>
        <v>0</v>
      </c>
      <c r="U46" s="1141"/>
      <c r="V46" s="1141"/>
      <c r="W46" s="1141"/>
      <c r="X46" s="1141"/>
      <c r="Y46" s="1141"/>
      <c r="Z46" s="1141"/>
      <c r="AA46" s="1141"/>
      <c r="AB46" s="1141"/>
      <c r="AC46" s="1141"/>
      <c r="AD46" s="1141"/>
      <c r="AE46" s="1141"/>
      <c r="AF46" s="1141"/>
      <c r="AG46" s="1141"/>
      <c r="AH46" s="1141"/>
      <c r="AI46" s="1141"/>
      <c r="AJ46" s="1141"/>
      <c r="AK46" s="1141"/>
      <c r="AL46" s="1141"/>
      <c r="AM46" s="1141"/>
      <c r="AN46" s="1141"/>
      <c r="AO46" s="1141"/>
      <c r="AP46" s="1141"/>
      <c r="AQ46" s="1141"/>
      <c r="AR46" s="1141"/>
      <c r="AS46" s="1141"/>
      <c r="AT46" s="1141"/>
      <c r="AU46" s="1141"/>
      <c r="AV46" s="1141"/>
      <c r="AW46" s="1141"/>
      <c r="AX46" s="1141"/>
      <c r="AY46" s="1141"/>
      <c r="AZ46" s="1141"/>
      <c r="BA46" s="1141"/>
      <c r="BB46" s="1141"/>
      <c r="BC46" s="1141"/>
      <c r="BD46" s="1141"/>
      <c r="BE46" s="1141"/>
      <c r="BF46" s="1141"/>
      <c r="BG46" s="1141"/>
      <c r="BH46" s="1141"/>
      <c r="BI46" s="1141"/>
      <c r="BJ46" s="1141"/>
      <c r="BK46" s="1141"/>
      <c r="BL46" s="1141"/>
      <c r="BM46" s="1141"/>
      <c r="BN46" s="1141"/>
      <c r="BO46" s="1141"/>
      <c r="BP46" s="1141"/>
      <c r="BQ46" s="1141"/>
      <c r="BR46" s="1141"/>
      <c r="BS46" s="1141"/>
      <c r="BT46" s="1141"/>
      <c r="BU46" s="1141"/>
      <c r="BV46" s="1141"/>
      <c r="BW46" s="1141"/>
      <c r="BX46" s="1141"/>
      <c r="BY46" s="1141"/>
      <c r="BZ46" s="1141"/>
      <c r="CA46" s="1141"/>
      <c r="CB46" s="1141"/>
      <c r="CC46" s="1141"/>
      <c r="CD46" s="1141"/>
      <c r="CE46" s="1141"/>
      <c r="CF46" s="1141"/>
      <c r="CG46" s="1141"/>
      <c r="CH46" s="1141"/>
      <c r="CI46" s="1141"/>
      <c r="CJ46" s="1141"/>
      <c r="CK46" s="1141"/>
      <c r="CL46" s="1141"/>
      <c r="CM46" s="1141"/>
      <c r="CN46" s="1141"/>
      <c r="CO46" s="1141"/>
      <c r="CP46" s="1141"/>
    </row>
    <row r="47" spans="1:94" s="56" customFormat="1">
      <c r="A47" s="1146"/>
      <c r="B47" s="1919" t="s">
        <v>331</v>
      </c>
      <c r="C47" s="1919"/>
      <c r="D47" s="1147">
        <f>SUM(D40:D46)</f>
        <v>0</v>
      </c>
      <c r="E47" s="1148"/>
      <c r="F47" s="1149"/>
      <c r="G47" s="1147">
        <f>IF(Deal_Overview!$P$28=0,0,D47/Deal_Overview!$P$28)</f>
        <v>0</v>
      </c>
      <c r="H47" s="1150"/>
      <c r="I47" s="1151">
        <f t="shared" ref="I47:Q47" si="22">SUM(I40:I46)</f>
        <v>0</v>
      </c>
      <c r="J47" s="1149">
        <f t="shared" si="22"/>
        <v>0</v>
      </c>
      <c r="K47" s="1152">
        <f>SUM(K40:K46)</f>
        <v>0</v>
      </c>
      <c r="L47" s="1149">
        <f t="shared" si="22"/>
        <v>0</v>
      </c>
      <c r="M47" s="1149">
        <f t="shared" si="22"/>
        <v>0</v>
      </c>
      <c r="N47" s="1149">
        <f>SUM(N40:N46)</f>
        <v>0</v>
      </c>
      <c r="O47" s="1153"/>
      <c r="P47" s="1149"/>
      <c r="Q47" s="1149">
        <f t="shared" si="22"/>
        <v>0</v>
      </c>
      <c r="R47" s="1149">
        <f t="shared" si="8"/>
        <v>0</v>
      </c>
      <c r="S47" s="1154"/>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row>
    <row r="48" spans="1:94">
      <c r="A48" s="1127">
        <v>41</v>
      </c>
      <c r="B48" s="1128"/>
      <c r="C48" s="1083" t="s">
        <v>332</v>
      </c>
      <c r="D48" s="1143">
        <f>ROUND(IF(F48=Lists!$D$5,E48,IF(F48=Lists!$D$6,E48*'Units&amp;Income'!$AV$94,IF(F48=Lists!$D$7,DevCosts!E48*Setup!$D$37,IF(F48=Lists!$D$8,E48*Setup!$D$38,IF(F48=Lists!$D$9,DevCosts!E48*DevCosts!$D$13,0))))),0)</f>
        <v>0</v>
      </c>
      <c r="E48" s="1145">
        <v>0</v>
      </c>
      <c r="F48" s="1131" t="s">
        <v>273</v>
      </c>
      <c r="G48" s="1132">
        <f>IF(Deal_Overview!$P$28=0,0,D48/Deal_Overview!$P$28)</f>
        <v>0</v>
      </c>
      <c r="H48" s="1133"/>
      <c r="I48" s="1134">
        <f>D48*1</f>
        <v>0</v>
      </c>
      <c r="J48" s="1135">
        <f>$D48*0</f>
        <v>0</v>
      </c>
      <c r="K48" s="1136">
        <f t="shared" ref="J48:K53" si="23">$D48*0</f>
        <v>0</v>
      </c>
      <c r="L48" s="1135">
        <f>SUM(I48:K48)*Setup!$L$3</f>
        <v>0</v>
      </c>
      <c r="M48" s="1135">
        <f>I48*Setup!$L$19</f>
        <v>0</v>
      </c>
      <c r="N48" s="1138">
        <f t="shared" ref="N48:N53" si="24">D48-SUM(I48:K48)</f>
        <v>0</v>
      </c>
      <c r="O48" s="1139"/>
      <c r="P48" s="1137"/>
      <c r="Q48" s="1135">
        <f t="shared" si="7"/>
        <v>0</v>
      </c>
      <c r="R48" s="1155">
        <f t="shared" si="8"/>
        <v>0</v>
      </c>
      <c r="S48" s="1140">
        <f>IF(SUM(I48:K48)&gt;0,(L48/SUM(I48:K48))*I48,0)</f>
        <v>0</v>
      </c>
      <c r="T48" s="1141">
        <f>IF(S48&gt;M48,0,(M48-S48)*Setup!$L$22)</f>
        <v>0</v>
      </c>
      <c r="U48" s="1141"/>
      <c r="V48" s="1141"/>
      <c r="W48" s="1141"/>
      <c r="X48" s="1141"/>
      <c r="Y48" s="1141"/>
      <c r="Z48" s="1141"/>
      <c r="AA48" s="1141"/>
      <c r="AB48" s="1141"/>
      <c r="AC48" s="1141"/>
      <c r="AD48" s="1141"/>
      <c r="AE48" s="1141"/>
      <c r="AF48" s="1141"/>
      <c r="AG48" s="1141"/>
      <c r="AH48" s="1141"/>
      <c r="AI48" s="1141"/>
      <c r="AJ48" s="1141"/>
      <c r="AK48" s="1141"/>
      <c r="AL48" s="1141"/>
      <c r="AM48" s="1141"/>
      <c r="AN48" s="1141"/>
      <c r="AO48" s="1141"/>
      <c r="AP48" s="1141"/>
      <c r="AQ48" s="1141"/>
      <c r="AR48" s="1141"/>
      <c r="AS48" s="1141"/>
      <c r="AT48" s="1141"/>
      <c r="AU48" s="1141"/>
      <c r="AV48" s="1141"/>
      <c r="AW48" s="1141"/>
      <c r="AX48" s="1141"/>
      <c r="AY48" s="1141"/>
      <c r="AZ48" s="1141"/>
      <c r="BA48" s="1141"/>
      <c r="BB48" s="1141"/>
      <c r="BC48" s="1141"/>
      <c r="BD48" s="1141"/>
      <c r="BE48" s="1141"/>
      <c r="BF48" s="1141"/>
      <c r="BG48" s="1141"/>
      <c r="BH48" s="1141"/>
      <c r="BI48" s="1141"/>
      <c r="BJ48" s="1141"/>
      <c r="BK48" s="1141"/>
      <c r="BL48" s="1141"/>
      <c r="BM48" s="1141"/>
      <c r="BN48" s="1141"/>
      <c r="BO48" s="1141"/>
      <c r="BP48" s="1141"/>
      <c r="BQ48" s="1141"/>
      <c r="BR48" s="1141"/>
      <c r="BS48" s="1141"/>
      <c r="BT48" s="1141"/>
      <c r="BU48" s="1141"/>
      <c r="BV48" s="1141"/>
      <c r="BW48" s="1141"/>
      <c r="BX48" s="1141"/>
      <c r="BY48" s="1141"/>
      <c r="BZ48" s="1141"/>
      <c r="CA48" s="1141"/>
      <c r="CB48" s="1141"/>
      <c r="CC48" s="1141"/>
      <c r="CD48" s="1141"/>
      <c r="CE48" s="1141"/>
      <c r="CF48" s="1141"/>
      <c r="CG48" s="1141"/>
      <c r="CH48" s="1141"/>
      <c r="CI48" s="1141"/>
      <c r="CJ48" s="1141"/>
      <c r="CK48" s="1141"/>
      <c r="CL48" s="1141"/>
      <c r="CM48" s="1141"/>
      <c r="CN48" s="1141"/>
      <c r="CO48" s="1141"/>
      <c r="CP48" s="1141"/>
    </row>
    <row r="49" spans="1:94">
      <c r="A49" s="1127">
        <v>43</v>
      </c>
      <c r="B49" s="1128"/>
      <c r="C49" s="1083" t="s">
        <v>295</v>
      </c>
      <c r="D49" s="1143">
        <f>ROUND(IF(F49=Lists!$D$5,E49,IF(F49=Lists!$D$6,E49*'Units&amp;Income'!$AV$94,IF(F49=Lists!$D$7,DevCosts!E49*Setup!$D$37,IF(F49=Lists!$D$8,E49*Setup!$D$38,IF(F49=Lists!$D$9,DevCosts!E49*$D$48,0))))),0)</f>
        <v>0</v>
      </c>
      <c r="E49" s="1145">
        <v>0</v>
      </c>
      <c r="F49" s="1131" t="s">
        <v>273</v>
      </c>
      <c r="G49" s="1132">
        <f>IF(Deal_Overview!$P$28=0,0,D49/Deal_Overview!$P$28)</f>
        <v>0</v>
      </c>
      <c r="H49" s="1133"/>
      <c r="I49" s="1134">
        <f t="shared" ref="I49:I53" si="25">$D49*0</f>
        <v>0</v>
      </c>
      <c r="J49" s="1135">
        <f t="shared" si="23"/>
        <v>0</v>
      </c>
      <c r="K49" s="1136">
        <f t="shared" si="23"/>
        <v>0</v>
      </c>
      <c r="L49" s="1135">
        <f>SUM(I49:K49)*Setup!$L$3</f>
        <v>0</v>
      </c>
      <c r="M49" s="1135">
        <f>I49*Setup!$L$19</f>
        <v>0</v>
      </c>
      <c r="N49" s="1138">
        <f t="shared" si="24"/>
        <v>0</v>
      </c>
      <c r="O49" s="1139"/>
      <c r="P49" s="1137"/>
      <c r="Q49" s="1135">
        <f t="shared" si="7"/>
        <v>0</v>
      </c>
      <c r="R49" s="1155">
        <f t="shared" si="8"/>
        <v>0</v>
      </c>
      <c r="S49" s="1140">
        <f t="shared" ref="S49:S53" si="26">IF(SUM(I49:K49)&gt;0,(L49/SUM(I49:K49))*I49,0)</f>
        <v>0</v>
      </c>
      <c r="T49" s="1141">
        <f>IF(S49&gt;M49,0,(M49-S49)*Setup!$L$22)</f>
        <v>0</v>
      </c>
      <c r="U49" s="1141"/>
      <c r="V49" s="1141"/>
      <c r="W49" s="1141"/>
      <c r="X49" s="1141"/>
      <c r="Y49" s="1141"/>
      <c r="Z49" s="1141"/>
      <c r="AA49" s="1141"/>
      <c r="AB49" s="1141"/>
      <c r="AC49" s="1141"/>
      <c r="AD49" s="1141"/>
      <c r="AE49" s="1141"/>
      <c r="AF49" s="1141"/>
      <c r="AG49" s="1141"/>
      <c r="AH49" s="1141"/>
      <c r="AI49" s="1141"/>
      <c r="AJ49" s="1141"/>
      <c r="AK49" s="1141"/>
      <c r="AL49" s="1141"/>
      <c r="AM49" s="1141"/>
      <c r="AN49" s="1141"/>
      <c r="AO49" s="1141"/>
      <c r="AP49" s="1141"/>
      <c r="AQ49" s="1141"/>
      <c r="AR49" s="1141"/>
      <c r="AS49" s="1141"/>
      <c r="AT49" s="1141"/>
      <c r="AU49" s="1141"/>
      <c r="AV49" s="1141"/>
      <c r="AW49" s="1141"/>
      <c r="AX49" s="1141"/>
      <c r="AY49" s="1141"/>
      <c r="AZ49" s="1141"/>
      <c r="BA49" s="1141"/>
      <c r="BB49" s="1141"/>
      <c r="BC49" s="1141"/>
      <c r="BD49" s="1141"/>
      <c r="BE49" s="1141"/>
      <c r="BF49" s="1141"/>
      <c r="BG49" s="1141"/>
      <c r="BH49" s="1141"/>
      <c r="BI49" s="1141"/>
      <c r="BJ49" s="1141"/>
      <c r="BK49" s="1141"/>
      <c r="BL49" s="1141"/>
      <c r="BM49" s="1141"/>
      <c r="BN49" s="1141"/>
      <c r="BO49" s="1141"/>
      <c r="BP49" s="1141"/>
      <c r="BQ49" s="1141"/>
      <c r="BR49" s="1141"/>
      <c r="BS49" s="1141"/>
      <c r="BT49" s="1141"/>
      <c r="BU49" s="1141"/>
      <c r="BV49" s="1141"/>
      <c r="BW49" s="1141"/>
      <c r="BX49" s="1141"/>
      <c r="BY49" s="1141"/>
      <c r="BZ49" s="1141"/>
      <c r="CA49" s="1141"/>
      <c r="CB49" s="1141"/>
      <c r="CC49" s="1141"/>
      <c r="CD49" s="1141"/>
      <c r="CE49" s="1141"/>
      <c r="CF49" s="1141"/>
      <c r="CG49" s="1141"/>
      <c r="CH49" s="1141"/>
      <c r="CI49" s="1141"/>
      <c r="CJ49" s="1141"/>
      <c r="CK49" s="1141"/>
      <c r="CL49" s="1141"/>
      <c r="CM49" s="1141"/>
      <c r="CN49" s="1141"/>
      <c r="CO49" s="1141"/>
      <c r="CP49" s="1141"/>
    </row>
    <row r="50" spans="1:94">
      <c r="A50" s="1127">
        <v>44</v>
      </c>
      <c r="B50" s="1128"/>
      <c r="C50" s="1083" t="s">
        <v>333</v>
      </c>
      <c r="D50" s="1143">
        <f>ROUND(IF(F50=Lists!$D$5,E50,IF(F50=Lists!$D$6,E50*'Units&amp;Income'!$AV$94,IF(F50=Lists!$D$7,DevCosts!E50*Setup!$D$37,IF(F50=Lists!$D$8,E50*Setup!$D$38,IF(F50=Lists!$D$9,DevCosts!E50*$D$48,0))))),0)</f>
        <v>0</v>
      </c>
      <c r="E50" s="1145">
        <v>0</v>
      </c>
      <c r="F50" s="1131" t="s">
        <v>273</v>
      </c>
      <c r="G50" s="1132">
        <f>IF(Deal_Overview!$P$28=0,0,D50/Deal_Overview!$P$28)</f>
        <v>0</v>
      </c>
      <c r="H50" s="1133"/>
      <c r="I50" s="1134">
        <f t="shared" si="25"/>
        <v>0</v>
      </c>
      <c r="J50" s="1135">
        <f t="shared" si="23"/>
        <v>0</v>
      </c>
      <c r="K50" s="1136">
        <f t="shared" si="23"/>
        <v>0</v>
      </c>
      <c r="L50" s="1135">
        <f>SUM(I50:K50)*Setup!$L$3</f>
        <v>0</v>
      </c>
      <c r="M50" s="1135">
        <f>I50*Setup!$L$19</f>
        <v>0</v>
      </c>
      <c r="N50" s="1138">
        <f t="shared" si="24"/>
        <v>0</v>
      </c>
      <c r="O50" s="1139"/>
      <c r="P50" s="1137"/>
      <c r="Q50" s="1135">
        <f t="shared" si="7"/>
        <v>0</v>
      </c>
      <c r="R50" s="1155">
        <f t="shared" si="8"/>
        <v>0</v>
      </c>
      <c r="S50" s="1140">
        <f t="shared" si="26"/>
        <v>0</v>
      </c>
      <c r="T50" s="1141">
        <f>IF(S50&gt;M50,0,(M50-S50)*Setup!$L$22)</f>
        <v>0</v>
      </c>
      <c r="U50" s="1141"/>
      <c r="V50" s="1141"/>
      <c r="W50" s="1141"/>
      <c r="X50" s="1141"/>
      <c r="Y50" s="1141"/>
      <c r="Z50" s="1141"/>
      <c r="AA50" s="1141"/>
      <c r="AB50" s="1141"/>
      <c r="AC50" s="1141"/>
      <c r="AD50" s="1141"/>
      <c r="AE50" s="1141"/>
      <c r="AF50" s="1141"/>
      <c r="AG50" s="1141"/>
      <c r="AH50" s="1141"/>
      <c r="AI50" s="1141"/>
      <c r="AJ50" s="1141"/>
      <c r="AK50" s="1141"/>
      <c r="AL50" s="1141"/>
      <c r="AM50" s="1141"/>
      <c r="AN50" s="1141"/>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1"/>
      <c r="BP50" s="1141"/>
      <c r="BQ50" s="1141"/>
      <c r="BR50" s="1141"/>
      <c r="BS50" s="1141"/>
      <c r="BT50" s="1141"/>
      <c r="BU50" s="1141"/>
      <c r="BV50" s="1141"/>
      <c r="BW50" s="1141"/>
      <c r="BX50" s="1141"/>
      <c r="BY50" s="1141"/>
      <c r="BZ50" s="1141"/>
      <c r="CA50" s="1141"/>
      <c r="CB50" s="1141"/>
      <c r="CC50" s="1141"/>
      <c r="CD50" s="1141"/>
      <c r="CE50" s="1141"/>
      <c r="CF50" s="1141"/>
      <c r="CG50" s="1141"/>
      <c r="CH50" s="1141"/>
      <c r="CI50" s="1141"/>
      <c r="CJ50" s="1141"/>
      <c r="CK50" s="1141"/>
      <c r="CL50" s="1141"/>
      <c r="CM50" s="1141"/>
      <c r="CN50" s="1141"/>
      <c r="CO50" s="1141"/>
      <c r="CP50" s="1141"/>
    </row>
    <row r="51" spans="1:94">
      <c r="A51" s="1127">
        <v>45</v>
      </c>
      <c r="B51" s="1128"/>
      <c r="C51" s="1083" t="s">
        <v>334</v>
      </c>
      <c r="D51" s="1143">
        <f>ROUND(IF(F51=Lists!$D$5,E51,IF(F51=Lists!$D$6,E51*'Units&amp;Income'!$AV$94,IF(F51=Lists!$D$7,DevCosts!E51*Setup!$D$37,IF(F51=Lists!$D$8,E51*Setup!$D$38,IF(F51=Lists!$D$9,DevCosts!E51*$D$48,0))))),0)</f>
        <v>0</v>
      </c>
      <c r="E51" s="1145">
        <v>0</v>
      </c>
      <c r="F51" s="1131" t="s">
        <v>273</v>
      </c>
      <c r="G51" s="1132">
        <f>IF(Deal_Overview!$P$28=0,0,D51/Deal_Overview!$P$28)</f>
        <v>0</v>
      </c>
      <c r="H51" s="1133"/>
      <c r="I51" s="1134">
        <f t="shared" si="25"/>
        <v>0</v>
      </c>
      <c r="J51" s="1135">
        <f t="shared" si="23"/>
        <v>0</v>
      </c>
      <c r="K51" s="1136">
        <f t="shared" si="23"/>
        <v>0</v>
      </c>
      <c r="L51" s="1135">
        <f>SUM(I51:K51)*Setup!$L$3</f>
        <v>0</v>
      </c>
      <c r="M51" s="1135">
        <f>I51*Setup!$L$19</f>
        <v>0</v>
      </c>
      <c r="N51" s="1138">
        <f t="shared" si="24"/>
        <v>0</v>
      </c>
      <c r="O51" s="1139"/>
      <c r="P51" s="1137"/>
      <c r="Q51" s="1135">
        <f t="shared" si="7"/>
        <v>0</v>
      </c>
      <c r="R51" s="1155">
        <f t="shared" si="8"/>
        <v>0</v>
      </c>
      <c r="S51" s="1140">
        <f t="shared" si="26"/>
        <v>0</v>
      </c>
      <c r="T51" s="1141">
        <f>IF(S51&gt;M51,0,(M51-S51)*Setup!$L$22)</f>
        <v>0</v>
      </c>
      <c r="U51" s="1141"/>
      <c r="V51" s="1141"/>
      <c r="W51" s="1141"/>
      <c r="X51" s="1141"/>
      <c r="Y51" s="1141"/>
      <c r="Z51" s="1141"/>
      <c r="AA51" s="1141"/>
      <c r="AB51" s="1141"/>
      <c r="AC51" s="1141"/>
      <c r="AD51" s="1141"/>
      <c r="AE51" s="1141"/>
      <c r="AF51" s="1141"/>
      <c r="AG51" s="1141"/>
      <c r="AH51" s="1141"/>
      <c r="AI51" s="1141"/>
      <c r="AJ51" s="1141"/>
      <c r="AK51" s="1141"/>
      <c r="AL51" s="1141"/>
      <c r="AM51" s="1141"/>
      <c r="AN51" s="1141"/>
      <c r="AO51" s="1141"/>
      <c r="AP51" s="1141"/>
      <c r="AQ51" s="1141"/>
      <c r="AR51" s="1141"/>
      <c r="AS51" s="1141"/>
      <c r="AT51" s="1141"/>
      <c r="AU51" s="1141"/>
      <c r="AV51" s="1141"/>
      <c r="AW51" s="1141"/>
      <c r="AX51" s="1141"/>
      <c r="AY51" s="1141"/>
      <c r="AZ51" s="1141"/>
      <c r="BA51" s="1141"/>
      <c r="BB51" s="1141"/>
      <c r="BC51" s="1141"/>
      <c r="BD51" s="1141"/>
      <c r="BE51" s="1141"/>
      <c r="BF51" s="1141"/>
      <c r="BG51" s="1141"/>
      <c r="BH51" s="1141"/>
      <c r="BI51" s="1141"/>
      <c r="BJ51" s="1141"/>
      <c r="BK51" s="1141"/>
      <c r="BL51" s="1141"/>
      <c r="BM51" s="1141"/>
      <c r="BN51" s="1141"/>
      <c r="BO51" s="1141"/>
      <c r="BP51" s="1141"/>
      <c r="BQ51" s="1141"/>
      <c r="BR51" s="1141"/>
      <c r="BS51" s="1141"/>
      <c r="BT51" s="1141"/>
      <c r="BU51" s="1141"/>
      <c r="BV51" s="1141"/>
      <c r="BW51" s="1141"/>
      <c r="BX51" s="1141"/>
      <c r="BY51" s="1141"/>
      <c r="BZ51" s="1141"/>
      <c r="CA51" s="1141"/>
      <c r="CB51" s="1141"/>
      <c r="CC51" s="1141"/>
      <c r="CD51" s="1141"/>
      <c r="CE51" s="1141"/>
      <c r="CF51" s="1141"/>
      <c r="CG51" s="1141"/>
      <c r="CH51" s="1141"/>
      <c r="CI51" s="1141"/>
      <c r="CJ51" s="1141"/>
      <c r="CK51" s="1141"/>
      <c r="CL51" s="1141"/>
      <c r="CM51" s="1141"/>
      <c r="CN51" s="1141"/>
      <c r="CO51" s="1141"/>
      <c r="CP51" s="1141"/>
    </row>
    <row r="52" spans="1:94">
      <c r="A52" s="1127">
        <v>46</v>
      </c>
      <c r="B52" s="1128"/>
      <c r="C52" s="1083" t="s">
        <v>335</v>
      </c>
      <c r="D52" s="1143">
        <f>ROUND(IF(F52=Lists!$D$5,E52,IF(F52=Lists!$D$6,E52*'Units&amp;Income'!$AV$94,IF(F52=Lists!$D$7,DevCosts!E52*Setup!$D$37,IF(F52=Lists!$D$8,E52*Setup!$D$38,IF(F52=Lists!$D$9,DevCosts!E52*$D$48,0))))),0)</f>
        <v>0</v>
      </c>
      <c r="E52" s="1145">
        <v>0</v>
      </c>
      <c r="F52" s="1131" t="s">
        <v>273</v>
      </c>
      <c r="G52" s="1132">
        <f>IF(Deal_Overview!$P$28=0,0,D52/Deal_Overview!$P$28)</f>
        <v>0</v>
      </c>
      <c r="H52" s="1133"/>
      <c r="I52" s="1134">
        <f t="shared" si="25"/>
        <v>0</v>
      </c>
      <c r="J52" s="1135">
        <f t="shared" si="23"/>
        <v>0</v>
      </c>
      <c r="K52" s="1136">
        <f t="shared" si="23"/>
        <v>0</v>
      </c>
      <c r="L52" s="1135">
        <f>SUM(I52:K52)*Setup!$L$3</f>
        <v>0</v>
      </c>
      <c r="M52" s="1135">
        <f>I52*Setup!$L$19</f>
        <v>0</v>
      </c>
      <c r="N52" s="1138">
        <f t="shared" si="24"/>
        <v>0</v>
      </c>
      <c r="O52" s="1139"/>
      <c r="P52" s="1137"/>
      <c r="Q52" s="1135">
        <f t="shared" si="7"/>
        <v>0</v>
      </c>
      <c r="R52" s="1155">
        <f t="shared" si="8"/>
        <v>0</v>
      </c>
      <c r="S52" s="1140">
        <f t="shared" si="26"/>
        <v>0</v>
      </c>
      <c r="T52" s="1141">
        <f>IF(S52&gt;M52,0,(M52-S52)*Setup!$L$22)</f>
        <v>0</v>
      </c>
      <c r="U52" s="1141"/>
      <c r="V52" s="1141"/>
      <c r="W52" s="1141"/>
      <c r="X52" s="1141"/>
      <c r="Y52" s="1141"/>
      <c r="Z52" s="1141"/>
      <c r="AA52" s="1141"/>
      <c r="AB52" s="1141"/>
      <c r="AC52" s="1141"/>
      <c r="AD52" s="1141"/>
      <c r="AE52" s="1141"/>
      <c r="AF52" s="1141"/>
      <c r="AG52" s="1141"/>
      <c r="AH52" s="1141"/>
      <c r="AI52" s="1141"/>
      <c r="AJ52" s="1141"/>
      <c r="AK52" s="1141"/>
      <c r="AL52" s="1141"/>
      <c r="AM52" s="1141"/>
      <c r="AN52" s="1141"/>
      <c r="AO52" s="1141"/>
      <c r="AP52" s="1141"/>
      <c r="AQ52" s="1141"/>
      <c r="AR52" s="1141"/>
      <c r="AS52" s="1141"/>
      <c r="AT52" s="1141"/>
      <c r="AU52" s="1141"/>
      <c r="AV52" s="1141"/>
      <c r="AW52" s="1141"/>
      <c r="AX52" s="1141"/>
      <c r="AY52" s="1141"/>
      <c r="AZ52" s="1141"/>
      <c r="BA52" s="1141"/>
      <c r="BB52" s="1141"/>
      <c r="BC52" s="1141"/>
      <c r="BD52" s="1141"/>
      <c r="BE52" s="1141"/>
      <c r="BF52" s="1141"/>
      <c r="BG52" s="1141"/>
      <c r="BH52" s="1141"/>
      <c r="BI52" s="1141"/>
      <c r="BJ52" s="1141"/>
      <c r="BK52" s="1141"/>
      <c r="BL52" s="1141"/>
      <c r="BM52" s="1141"/>
      <c r="BN52" s="1141"/>
      <c r="BO52" s="1141"/>
      <c r="BP52" s="1141"/>
      <c r="BQ52" s="1141"/>
      <c r="BR52" s="1141"/>
      <c r="BS52" s="1141"/>
      <c r="BT52" s="1141"/>
      <c r="BU52" s="1141"/>
      <c r="BV52" s="1141"/>
      <c r="BW52" s="1141"/>
      <c r="BX52" s="1141"/>
      <c r="BY52" s="1141"/>
      <c r="BZ52" s="1141"/>
      <c r="CA52" s="1141"/>
      <c r="CB52" s="1141"/>
      <c r="CC52" s="1141"/>
      <c r="CD52" s="1141"/>
      <c r="CE52" s="1141"/>
      <c r="CF52" s="1141"/>
      <c r="CG52" s="1141"/>
      <c r="CH52" s="1141"/>
      <c r="CI52" s="1141"/>
      <c r="CJ52" s="1141"/>
      <c r="CK52" s="1141"/>
      <c r="CL52" s="1141"/>
      <c r="CM52" s="1141"/>
      <c r="CN52" s="1141"/>
      <c r="CO52" s="1141"/>
      <c r="CP52" s="1141"/>
    </row>
    <row r="53" spans="1:94">
      <c r="A53" s="1127">
        <v>47</v>
      </c>
      <c r="B53" s="1128"/>
      <c r="C53" s="1083" t="s">
        <v>336</v>
      </c>
      <c r="D53" s="1143">
        <f>ROUND(IF(F53=Lists!$D$5,E53,IF(F53=Lists!$D$6,E53*'Units&amp;Income'!$AV$94,IF(F53=Lists!$D$7,DevCosts!E53*Setup!$D$37,IF(F53=Lists!$D$8,E53*Setup!$D$38,IF(F53=Lists!$D$9,DevCosts!E53*DevCosts!$D$13,0))))),0)</f>
        <v>0</v>
      </c>
      <c r="E53" s="1145">
        <v>0</v>
      </c>
      <c r="F53" s="1131" t="s">
        <v>273</v>
      </c>
      <c r="G53" s="1132">
        <f>IF(Deal_Overview!$P$28=0,0,D53/Deal_Overview!$P$28)</f>
        <v>0</v>
      </c>
      <c r="H53" s="1133"/>
      <c r="I53" s="1134">
        <f t="shared" si="25"/>
        <v>0</v>
      </c>
      <c r="J53" s="1135">
        <f t="shared" si="23"/>
        <v>0</v>
      </c>
      <c r="K53" s="1136">
        <f t="shared" si="23"/>
        <v>0</v>
      </c>
      <c r="L53" s="1135">
        <f>SUM(I53:K53)*Setup!$L$3</f>
        <v>0</v>
      </c>
      <c r="M53" s="1135">
        <f>I53*Setup!$L$19</f>
        <v>0</v>
      </c>
      <c r="N53" s="1138">
        <f t="shared" si="24"/>
        <v>0</v>
      </c>
      <c r="O53" s="1139"/>
      <c r="P53" s="1137"/>
      <c r="Q53" s="1135">
        <f t="shared" si="7"/>
        <v>0</v>
      </c>
      <c r="R53" s="1155">
        <f t="shared" si="8"/>
        <v>0</v>
      </c>
      <c r="S53" s="1140">
        <f t="shared" si="26"/>
        <v>0</v>
      </c>
      <c r="T53" s="1141">
        <f>IF(S53&gt;M53,0,(M53-S53)*Setup!$L$22)</f>
        <v>0</v>
      </c>
      <c r="U53" s="1141"/>
      <c r="V53" s="1141"/>
      <c r="W53" s="1141"/>
      <c r="X53" s="1141"/>
      <c r="Y53" s="1141"/>
      <c r="Z53" s="1141"/>
      <c r="AA53" s="1141"/>
      <c r="AB53" s="1141"/>
      <c r="AC53" s="1141"/>
      <c r="AD53" s="1141"/>
      <c r="AE53" s="1141"/>
      <c r="AF53" s="1141"/>
      <c r="AG53" s="1141"/>
      <c r="AH53" s="1141"/>
      <c r="AI53" s="1141"/>
      <c r="AJ53" s="1141"/>
      <c r="AK53" s="1141"/>
      <c r="AL53" s="1141"/>
      <c r="AM53" s="1141"/>
      <c r="AN53" s="1141"/>
      <c r="AO53" s="1141"/>
      <c r="AP53" s="1141"/>
      <c r="AQ53" s="1141"/>
      <c r="AR53" s="1141"/>
      <c r="AS53" s="1141"/>
      <c r="AT53" s="1141"/>
      <c r="AU53" s="1141"/>
      <c r="AV53" s="1141"/>
      <c r="AW53" s="1141"/>
      <c r="AX53" s="1141"/>
      <c r="AY53" s="1141"/>
      <c r="AZ53" s="1141"/>
      <c r="BA53" s="1141"/>
      <c r="BB53" s="1141"/>
      <c r="BC53" s="1141"/>
      <c r="BD53" s="1141"/>
      <c r="BE53" s="1141"/>
      <c r="BF53" s="1141"/>
      <c r="BG53" s="1141"/>
      <c r="BH53" s="1141"/>
      <c r="BI53" s="1141"/>
      <c r="BJ53" s="1141"/>
      <c r="BK53" s="1141"/>
      <c r="BL53" s="1141"/>
      <c r="BM53" s="1141"/>
      <c r="BN53" s="1141"/>
      <c r="BO53" s="1141"/>
      <c r="BP53" s="1141"/>
      <c r="BQ53" s="1141"/>
      <c r="BR53" s="1141"/>
      <c r="BS53" s="1141"/>
      <c r="BT53" s="1141"/>
      <c r="BU53" s="1141"/>
      <c r="BV53" s="1141"/>
      <c r="BW53" s="1141"/>
      <c r="BX53" s="1141"/>
      <c r="BY53" s="1141"/>
      <c r="BZ53" s="1141"/>
      <c r="CA53" s="1141"/>
      <c r="CB53" s="1141"/>
      <c r="CC53" s="1141"/>
      <c r="CD53" s="1141"/>
      <c r="CE53" s="1141"/>
      <c r="CF53" s="1141"/>
      <c r="CG53" s="1141"/>
      <c r="CH53" s="1141"/>
      <c r="CI53" s="1141"/>
      <c r="CJ53" s="1141"/>
      <c r="CK53" s="1141"/>
      <c r="CL53" s="1141"/>
      <c r="CM53" s="1141"/>
      <c r="CN53" s="1141"/>
      <c r="CO53" s="1141"/>
      <c r="CP53" s="1141"/>
    </row>
    <row r="54" spans="1:94">
      <c r="A54" s="1127">
        <v>13</v>
      </c>
      <c r="B54" s="1128"/>
      <c r="C54" s="1128" t="s">
        <v>301</v>
      </c>
      <c r="D54" s="1143">
        <f>ROUND(IF(F54=Lists!$D$5,E54,IF(F54=Lists!$D$6,E54*'Units&amp;Income'!$AV$94,IF(F54=Lists!$D$7,DevCosts!E54*Setup!$D$37,IF(F54=Lists!$D$8,E54*Setup!$D$38,IF(F54=Lists!$D$9,DevCosts!E54*SUM($D$48),0))))),0)</f>
        <v>0</v>
      </c>
      <c r="E54" s="1145">
        <v>0.06</v>
      </c>
      <c r="F54" s="1156" t="s">
        <v>302</v>
      </c>
      <c r="G54" s="1132">
        <f>IF(Deal_Overview!$P$28=0,0,D54/Deal_Overview!$P$28)</f>
        <v>0</v>
      </c>
      <c r="H54" s="1133"/>
      <c r="I54" s="1134">
        <f>$D54*1</f>
        <v>0</v>
      </c>
      <c r="J54" s="1135">
        <f>D54*0</f>
        <v>0</v>
      </c>
      <c r="K54" s="1136">
        <f>D54*0</f>
        <v>0</v>
      </c>
      <c r="L54" s="1135">
        <f>SUM(I54:K54)*Setup!$L$3</f>
        <v>0</v>
      </c>
      <c r="M54" s="1135">
        <f>I54*Setup!$L$19</f>
        <v>0</v>
      </c>
      <c r="N54" s="1138">
        <f t="shared" ref="N54:N56" si="27">D54-SUM(I54:K54)</f>
        <v>0</v>
      </c>
      <c r="O54" s="1139"/>
      <c r="P54" s="1137"/>
      <c r="Q54" s="1135">
        <f t="shared" ref="Q54:Q56" si="28">SUM(I54:K54)-L54-P54</f>
        <v>0</v>
      </c>
      <c r="R54" s="1155">
        <f t="shared" ref="R54:R56" si="29">I54</f>
        <v>0</v>
      </c>
      <c r="S54" s="1140">
        <f t="shared" ref="S54:S56" si="30">IF(SUM(I54:K54)&gt;0,(L54/SUM(I54:K54))*I54,0)</f>
        <v>0</v>
      </c>
      <c r="T54" s="1141">
        <f>IF(S54&gt;M54,0,(M54-S54)*Setup!$L$22)</f>
        <v>0</v>
      </c>
      <c r="U54" s="1141"/>
      <c r="V54" s="1141"/>
      <c r="W54" s="1141"/>
      <c r="X54" s="1141"/>
      <c r="Y54" s="1141"/>
      <c r="Z54" s="1141"/>
      <c r="AA54" s="1141"/>
      <c r="AB54" s="1141"/>
      <c r="AC54" s="1141"/>
      <c r="AD54" s="1141"/>
      <c r="AE54" s="1141"/>
      <c r="AF54" s="1141"/>
      <c r="AG54" s="1141"/>
      <c r="AH54" s="1141"/>
      <c r="AI54" s="1141"/>
      <c r="AJ54" s="1141"/>
      <c r="AK54" s="1141"/>
      <c r="AL54" s="1141"/>
      <c r="AM54" s="1141"/>
      <c r="AN54" s="1141"/>
      <c r="AO54" s="1141"/>
      <c r="AP54" s="1141"/>
      <c r="AQ54" s="1141"/>
      <c r="AR54" s="1141"/>
      <c r="AS54" s="1141"/>
      <c r="AT54" s="1141"/>
      <c r="AU54" s="1141"/>
      <c r="AV54" s="1141"/>
      <c r="AW54" s="1141"/>
      <c r="AX54" s="1141"/>
      <c r="AY54" s="1141"/>
      <c r="AZ54" s="1141"/>
      <c r="BA54" s="1141"/>
      <c r="BB54" s="1141"/>
      <c r="BC54" s="1141"/>
      <c r="BD54" s="1141"/>
      <c r="BE54" s="1141"/>
      <c r="BF54" s="1141"/>
      <c r="BG54" s="1141"/>
      <c r="BH54" s="1141"/>
      <c r="BI54" s="1141"/>
      <c r="BJ54" s="1141"/>
      <c r="BK54" s="1141"/>
      <c r="BL54" s="1141"/>
      <c r="BM54" s="1141"/>
      <c r="BN54" s="1141"/>
      <c r="BO54" s="1141"/>
      <c r="BP54" s="1141"/>
      <c r="BQ54" s="1141"/>
      <c r="BR54" s="1141"/>
      <c r="BS54" s="1141"/>
      <c r="BT54" s="1141"/>
      <c r="BU54" s="1141"/>
      <c r="BV54" s="1141"/>
      <c r="BW54" s="1141"/>
      <c r="BX54" s="1141"/>
      <c r="BY54" s="1141"/>
      <c r="BZ54" s="1141"/>
      <c r="CA54" s="1141"/>
      <c r="CB54" s="1141"/>
      <c r="CC54" s="1141"/>
      <c r="CD54" s="1141"/>
      <c r="CE54" s="1141"/>
      <c r="CF54" s="1141"/>
      <c r="CG54" s="1141"/>
      <c r="CH54" s="1141"/>
      <c r="CI54" s="1141"/>
      <c r="CJ54" s="1141"/>
      <c r="CK54" s="1141"/>
      <c r="CL54" s="1141"/>
      <c r="CM54" s="1141"/>
      <c r="CN54" s="1141"/>
      <c r="CO54" s="1141"/>
      <c r="CP54" s="1141"/>
    </row>
    <row r="55" spans="1:94">
      <c r="A55" s="1127">
        <v>14</v>
      </c>
      <c r="B55" s="1128"/>
      <c r="C55" s="1083" t="s">
        <v>303</v>
      </c>
      <c r="D55" s="1143">
        <f>ROUND(IF(F55=Lists!$D$5,E55,IF(F55=Lists!$D$6,E55*'Units&amp;Income'!$AV$94,IF(F55=Lists!$D$7,DevCosts!E55*Setup!$D$37,IF(F55=Lists!$D$8,E55*Setup!$D$38,IF(F55=Lists!$D$9,DevCosts!E55*$D$48,0))))),0)</f>
        <v>0</v>
      </c>
      <c r="E55" s="1145">
        <v>0.02</v>
      </c>
      <c r="F55" s="1156" t="s">
        <v>302</v>
      </c>
      <c r="G55" s="1132">
        <f>IF(Deal_Overview!$P$28=0,0,D55/Deal_Overview!$P$28)</f>
        <v>0</v>
      </c>
      <c r="H55" s="1133"/>
      <c r="I55" s="1134">
        <f>$D55*1</f>
        <v>0</v>
      </c>
      <c r="J55" s="1135">
        <f>D55*0</f>
        <v>0</v>
      </c>
      <c r="K55" s="1136">
        <f>D55*0</f>
        <v>0</v>
      </c>
      <c r="L55" s="1135">
        <f>SUM(I55:K55)*Setup!$L$3</f>
        <v>0</v>
      </c>
      <c r="M55" s="1135">
        <f>I55*Setup!$L$19</f>
        <v>0</v>
      </c>
      <c r="N55" s="1138">
        <f t="shared" si="27"/>
        <v>0</v>
      </c>
      <c r="O55" s="1139"/>
      <c r="P55" s="1137"/>
      <c r="Q55" s="1135">
        <f t="shared" si="28"/>
        <v>0</v>
      </c>
      <c r="R55" s="1155">
        <f t="shared" si="29"/>
        <v>0</v>
      </c>
      <c r="S55" s="1140">
        <f t="shared" si="30"/>
        <v>0</v>
      </c>
      <c r="T55" s="1141">
        <f>IF(S55&gt;M55,0,(M55-S55)*Setup!$L$22)</f>
        <v>0</v>
      </c>
      <c r="U55" s="1141"/>
      <c r="V55" s="1141"/>
      <c r="W55" s="1141"/>
      <c r="X55" s="1141"/>
      <c r="Y55" s="1141"/>
      <c r="Z55" s="1141"/>
      <c r="AA55" s="1141"/>
      <c r="AB55" s="1141"/>
      <c r="AC55" s="1141"/>
      <c r="AD55" s="1141"/>
      <c r="AE55" s="1141"/>
      <c r="AF55" s="1141"/>
      <c r="AG55" s="1141"/>
      <c r="AH55" s="1141"/>
      <c r="AI55" s="1141"/>
      <c r="AJ55" s="1141"/>
      <c r="AK55" s="1141"/>
      <c r="AL55" s="1141"/>
      <c r="AM55" s="1141"/>
      <c r="AN55" s="1141"/>
      <c r="AO55" s="1141"/>
      <c r="AP55" s="1141"/>
      <c r="AQ55" s="1141"/>
      <c r="AR55" s="1141"/>
      <c r="AS55" s="1141"/>
      <c r="AT55" s="1141"/>
      <c r="AU55" s="1141"/>
      <c r="AV55" s="1141"/>
      <c r="AW55" s="1141"/>
      <c r="AX55" s="1141"/>
      <c r="AY55" s="1141"/>
      <c r="AZ55" s="1141"/>
      <c r="BA55" s="1141"/>
      <c r="BB55" s="1141"/>
      <c r="BC55" s="1141"/>
      <c r="BD55" s="1141"/>
      <c r="BE55" s="1141"/>
      <c r="BF55" s="1141"/>
      <c r="BG55" s="1141"/>
      <c r="BH55" s="1141"/>
      <c r="BI55" s="1141"/>
      <c r="BJ55" s="1141"/>
      <c r="BK55" s="1141"/>
      <c r="BL55" s="1141"/>
      <c r="BM55" s="1141"/>
      <c r="BN55" s="1141"/>
      <c r="BO55" s="1141"/>
      <c r="BP55" s="1141"/>
      <c r="BQ55" s="1141"/>
      <c r="BR55" s="1141"/>
      <c r="BS55" s="1141"/>
      <c r="BT55" s="1141"/>
      <c r="BU55" s="1141"/>
      <c r="BV55" s="1141"/>
      <c r="BW55" s="1141"/>
      <c r="BX55" s="1141"/>
      <c r="BY55" s="1141"/>
      <c r="BZ55" s="1141"/>
      <c r="CA55" s="1141"/>
      <c r="CB55" s="1141"/>
      <c r="CC55" s="1141"/>
      <c r="CD55" s="1141"/>
      <c r="CE55" s="1141"/>
      <c r="CF55" s="1141"/>
      <c r="CG55" s="1141"/>
      <c r="CH55" s="1141"/>
      <c r="CI55" s="1141"/>
      <c r="CJ55" s="1141"/>
      <c r="CK55" s="1141"/>
      <c r="CL55" s="1141"/>
      <c r="CM55" s="1141"/>
      <c r="CN55" s="1141"/>
      <c r="CO55" s="1141"/>
      <c r="CP55" s="1141"/>
    </row>
    <row r="56" spans="1:94">
      <c r="A56" s="1127">
        <v>15</v>
      </c>
      <c r="B56" s="1128"/>
      <c r="C56" s="1083" t="s">
        <v>304</v>
      </c>
      <c r="D56" s="1143">
        <f>ROUND(IF(F56=Lists!$D$5,E56,IF(F56=Lists!$D$6,E56*'Units&amp;Income'!$AV$94,IF(F56=Lists!$D$7,DevCosts!E56*Setup!$D$37,IF(F56=Lists!$D$8,E56*Setup!$D$38,IF(F56=Lists!$D$9,DevCosts!E56*$D$48,0))))),0)</f>
        <v>0</v>
      </c>
      <c r="E56" s="1145">
        <v>0.06</v>
      </c>
      <c r="F56" s="1156" t="s">
        <v>302</v>
      </c>
      <c r="G56" s="1132">
        <f>IF(Deal_Overview!$P$28=0,0,D56/Deal_Overview!$P$28)</f>
        <v>0</v>
      </c>
      <c r="H56" s="1133"/>
      <c r="I56" s="1134">
        <f>$D56*1</f>
        <v>0</v>
      </c>
      <c r="J56" s="1135">
        <f>D56*0</f>
        <v>0</v>
      </c>
      <c r="K56" s="1136">
        <f>D56*0</f>
        <v>0</v>
      </c>
      <c r="L56" s="1135">
        <f>SUM(I56:K56)*Setup!$L$3</f>
        <v>0</v>
      </c>
      <c r="M56" s="1135">
        <f>I56*Setup!$L$19</f>
        <v>0</v>
      </c>
      <c r="N56" s="1138">
        <f t="shared" si="27"/>
        <v>0</v>
      </c>
      <c r="O56" s="1139"/>
      <c r="P56" s="1137"/>
      <c r="Q56" s="1135">
        <f t="shared" si="28"/>
        <v>0</v>
      </c>
      <c r="R56" s="1155">
        <f t="shared" si="29"/>
        <v>0</v>
      </c>
      <c r="S56" s="1140">
        <f t="shared" si="30"/>
        <v>0</v>
      </c>
      <c r="T56" s="1141">
        <f>IF(S56&gt;M56,0,(M56-S56)*Setup!$L$22)</f>
        <v>0</v>
      </c>
      <c r="U56" s="1141"/>
      <c r="V56" s="1141"/>
      <c r="W56" s="1141"/>
      <c r="X56" s="1141"/>
      <c r="Y56" s="1141"/>
      <c r="Z56" s="1141"/>
      <c r="AA56" s="1141"/>
      <c r="AB56" s="1141"/>
      <c r="AC56" s="1141"/>
      <c r="AD56" s="1141"/>
      <c r="AE56" s="1141"/>
      <c r="AF56" s="1141"/>
      <c r="AG56" s="1141"/>
      <c r="AH56" s="1141"/>
      <c r="AI56" s="1141"/>
      <c r="AJ56" s="1141"/>
      <c r="AK56" s="1141"/>
      <c r="AL56" s="1141"/>
      <c r="AM56" s="1141"/>
      <c r="AN56" s="1141"/>
      <c r="AO56" s="1141"/>
      <c r="AP56" s="1141"/>
      <c r="AQ56" s="1141"/>
      <c r="AR56" s="1141"/>
      <c r="AS56" s="1141"/>
      <c r="AT56" s="1141"/>
      <c r="AU56" s="1141"/>
      <c r="AV56" s="1141"/>
      <c r="AW56" s="1141"/>
      <c r="AX56" s="1141"/>
      <c r="AY56" s="1141"/>
      <c r="AZ56" s="1141"/>
      <c r="BA56" s="1141"/>
      <c r="BB56" s="1141"/>
      <c r="BC56" s="1141"/>
      <c r="BD56" s="1141"/>
      <c r="BE56" s="1141"/>
      <c r="BF56" s="1141"/>
      <c r="BG56" s="1141"/>
      <c r="BH56" s="1141"/>
      <c r="BI56" s="1141"/>
      <c r="BJ56" s="1141"/>
      <c r="BK56" s="1141"/>
      <c r="BL56" s="1141"/>
      <c r="BM56" s="1141"/>
      <c r="BN56" s="1141"/>
      <c r="BO56" s="1141"/>
      <c r="BP56" s="1141"/>
      <c r="BQ56" s="1141"/>
      <c r="BR56" s="1141"/>
      <c r="BS56" s="1141"/>
      <c r="BT56" s="1141"/>
      <c r="BU56" s="1141"/>
      <c r="BV56" s="1141"/>
      <c r="BW56" s="1141"/>
      <c r="BX56" s="1141"/>
      <c r="BY56" s="1141"/>
      <c r="BZ56" s="1141"/>
      <c r="CA56" s="1141"/>
      <c r="CB56" s="1141"/>
      <c r="CC56" s="1141"/>
      <c r="CD56" s="1141"/>
      <c r="CE56" s="1141"/>
      <c r="CF56" s="1141"/>
      <c r="CG56" s="1141"/>
      <c r="CH56" s="1141"/>
      <c r="CI56" s="1141"/>
      <c r="CJ56" s="1141"/>
      <c r="CK56" s="1141"/>
      <c r="CL56" s="1141"/>
      <c r="CM56" s="1141"/>
      <c r="CN56" s="1141"/>
      <c r="CO56" s="1141"/>
      <c r="CP56" s="1141"/>
    </row>
    <row r="57" spans="1:94">
      <c r="A57" s="1127">
        <v>42</v>
      </c>
      <c r="B57" s="1128"/>
      <c r="C57" s="1083" t="s">
        <v>316</v>
      </c>
      <c r="D57" s="1143">
        <f>ROUND(IF(F57=Lists!$D$5,E57,IF(F57=Lists!$D$6,E57*'Units&amp;Income'!$AV$94,IF(F57=Lists!$D$7,DevCosts!E57*Setup!$D$37,IF(F57=Lists!$D$8,E57*Setup!$D$38,IF(F57=Lists!$D$9,DevCosts!E57*SUM($D$48,D53:D56),0))))),0)</f>
        <v>0</v>
      </c>
      <c r="E57" s="1144">
        <v>0.1</v>
      </c>
      <c r="F57" s="1135" t="s">
        <v>302</v>
      </c>
      <c r="G57" s="1132">
        <f>IF(Deal_Overview!$P$28=0,0,D57/Deal_Overview!$P$28)</f>
        <v>0</v>
      </c>
      <c r="H57" s="1133"/>
      <c r="I57" s="1134">
        <f>$D57*0</f>
        <v>0</v>
      </c>
      <c r="J57" s="1135">
        <f>$D57*0</f>
        <v>0</v>
      </c>
      <c r="K57" s="1136">
        <f>$D57*0</f>
        <v>0</v>
      </c>
      <c r="L57" s="1135">
        <f>SUM(I57:K57)*Setup!$L$3</f>
        <v>0</v>
      </c>
      <c r="M57" s="1135">
        <f>I57*Setup!$L$19</f>
        <v>0</v>
      </c>
      <c r="N57" s="1138">
        <f>D57-SUM(I57:K57)</f>
        <v>0</v>
      </c>
      <c r="O57" s="1139"/>
      <c r="P57" s="1137"/>
      <c r="Q57" s="1135">
        <f>SUM(I57:K57)-L57-P57</f>
        <v>0</v>
      </c>
      <c r="R57" s="1155">
        <f>I57</f>
        <v>0</v>
      </c>
      <c r="S57" s="1140">
        <f>IF(SUM(I57:K57)&gt;0,(L57/SUM(I57:K57))*I57,0)</f>
        <v>0</v>
      </c>
      <c r="T57" s="1141">
        <f>IF(S57&gt;M57,0,(M57-S57)*Setup!$L$22)</f>
        <v>0</v>
      </c>
      <c r="U57" s="1141"/>
      <c r="V57" s="1141"/>
      <c r="W57" s="1141"/>
      <c r="X57" s="1141"/>
      <c r="Y57" s="1141"/>
      <c r="Z57" s="1141"/>
      <c r="AA57" s="1141"/>
      <c r="AB57" s="1141"/>
      <c r="AC57" s="1141"/>
      <c r="AD57" s="1141"/>
      <c r="AE57" s="1141"/>
      <c r="AF57" s="1141"/>
      <c r="AG57" s="1141"/>
      <c r="AH57" s="1141"/>
      <c r="AI57" s="1141"/>
      <c r="AJ57" s="1141"/>
      <c r="AK57" s="1141"/>
      <c r="AL57" s="1141"/>
      <c r="AM57" s="1141"/>
      <c r="AN57" s="1141"/>
      <c r="AO57" s="1141"/>
      <c r="AP57" s="1141"/>
      <c r="AQ57" s="1141"/>
      <c r="AR57" s="1141"/>
      <c r="AS57" s="1141"/>
      <c r="AT57" s="1141"/>
      <c r="AU57" s="1141"/>
      <c r="AV57" s="1141"/>
      <c r="AW57" s="1141"/>
      <c r="AX57" s="1141"/>
      <c r="AY57" s="1141"/>
      <c r="AZ57" s="1141"/>
      <c r="BA57" s="1141"/>
      <c r="BB57" s="1141"/>
      <c r="BC57" s="1141"/>
      <c r="BD57" s="1141"/>
      <c r="BE57" s="1141"/>
      <c r="BF57" s="1141"/>
      <c r="BG57" s="1141"/>
      <c r="BH57" s="1141"/>
      <c r="BI57" s="1141"/>
      <c r="BJ57" s="1141"/>
      <c r="BK57" s="1141"/>
      <c r="BL57" s="1141"/>
      <c r="BM57" s="1141"/>
      <c r="BN57" s="1141"/>
      <c r="BO57" s="1141"/>
      <c r="BP57" s="1141"/>
      <c r="BQ57" s="1141"/>
      <c r="BR57" s="1141"/>
      <c r="BS57" s="1141"/>
      <c r="BT57" s="1141"/>
      <c r="BU57" s="1141"/>
      <c r="BV57" s="1141"/>
      <c r="BW57" s="1141"/>
      <c r="BX57" s="1141"/>
      <c r="BY57" s="1141"/>
      <c r="BZ57" s="1141"/>
      <c r="CA57" s="1141"/>
      <c r="CB57" s="1141"/>
      <c r="CC57" s="1141"/>
      <c r="CD57" s="1141"/>
      <c r="CE57" s="1141"/>
      <c r="CF57" s="1141"/>
      <c r="CG57" s="1141"/>
      <c r="CH57" s="1141"/>
      <c r="CI57" s="1141"/>
      <c r="CJ57" s="1141"/>
      <c r="CK57" s="1141"/>
      <c r="CL57" s="1141"/>
      <c r="CM57" s="1141"/>
      <c r="CN57" s="1141"/>
      <c r="CO57" s="1141"/>
      <c r="CP57" s="1141"/>
    </row>
    <row r="58" spans="1:94" s="56" customFormat="1">
      <c r="A58" s="1146"/>
      <c r="B58" s="1919" t="s">
        <v>337</v>
      </c>
      <c r="C58" s="1919"/>
      <c r="D58" s="1147">
        <f>SUM(D48:D57)</f>
        <v>0</v>
      </c>
      <c r="E58" s="1148"/>
      <c r="F58" s="1149"/>
      <c r="G58" s="1147">
        <f>IF(Deal_Overview!$P$28=0,0,D58/Deal_Overview!$P$28)</f>
        <v>0</v>
      </c>
      <c r="H58" s="1150"/>
      <c r="I58" s="1151">
        <f>SUM(I48:I57)</f>
        <v>0</v>
      </c>
      <c r="J58" s="1151">
        <f t="shared" ref="J58:K58" si="31">SUM(J48:J57)</f>
        <v>0</v>
      </c>
      <c r="K58" s="1151">
        <f t="shared" si="31"/>
        <v>0</v>
      </c>
      <c r="L58" s="1151">
        <f>SUM(L48:L57)</f>
        <v>0</v>
      </c>
      <c r="M58" s="1151">
        <f>SUM(M48:M57)</f>
        <v>0</v>
      </c>
      <c r="N58" s="1149">
        <f>SUM(N48:N57)</f>
        <v>0</v>
      </c>
      <c r="O58" s="1153"/>
      <c r="P58" s="1151">
        <f>SUM(P48:P57)</f>
        <v>0</v>
      </c>
      <c r="Q58" s="1151">
        <f>SUM(Q48:Q57)</f>
        <v>0</v>
      </c>
      <c r="R58" s="1149">
        <f>SUM(R48:U57)</f>
        <v>0</v>
      </c>
      <c r="S58" s="1154"/>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row>
    <row r="59" spans="1:94">
      <c r="A59" s="1127">
        <v>48</v>
      </c>
      <c r="B59" s="1128"/>
      <c r="C59" s="1083" t="s">
        <v>338</v>
      </c>
      <c r="D59" s="1143">
        <f>ROUND(IF(F59=Lists!$D$5,E59,IF(F59=Lists!$D$6,E59*'Units&amp;Income'!$AV$94,IF(F59=Lists!$D$7,DevCosts!E59*Setup!$D$37,IF(F59=Lists!$D$8,E59*Setup!$D$38,IF(F59=Lists!$D$9,SUM((DevCosts!E59*DevCosts!$D$13),($D$48*E59)),0))))),0)</f>
        <v>0</v>
      </c>
      <c r="E59" s="1145">
        <v>0</v>
      </c>
      <c r="F59" s="1131" t="s">
        <v>273</v>
      </c>
      <c r="G59" s="1132">
        <f>IF(Deal_Overview!$P$28=0,0,D59/Deal_Overview!$P$28)</f>
        <v>0</v>
      </c>
      <c r="H59" s="1133"/>
      <c r="I59" s="1134">
        <f t="shared" ref="I59:I65" si="32">D59*1</f>
        <v>0</v>
      </c>
      <c r="J59" s="1135">
        <f t="shared" ref="J59:K79" si="33">$D59*0</f>
        <v>0</v>
      </c>
      <c r="K59" s="1136">
        <f t="shared" si="33"/>
        <v>0</v>
      </c>
      <c r="L59" s="1135">
        <f>SUM(I59:K59)*Setup!$L$3</f>
        <v>0</v>
      </c>
      <c r="M59" s="1135">
        <f>I59*Setup!$L$19</f>
        <v>0</v>
      </c>
      <c r="N59" s="1138">
        <f t="shared" ref="N59:N79" si="34">D59-SUM(I59:K59)</f>
        <v>0</v>
      </c>
      <c r="O59" s="1139"/>
      <c r="P59" s="1137"/>
      <c r="Q59" s="1135">
        <f t="shared" si="7"/>
        <v>0</v>
      </c>
      <c r="R59" s="1155">
        <f t="shared" si="8"/>
        <v>0</v>
      </c>
      <c r="S59" s="1140">
        <f>IF(SUM(I59:K59)&gt;0,(L59/SUM(I59:K59))*I59,0)</f>
        <v>0</v>
      </c>
      <c r="T59" s="1141">
        <f>IF(S59&gt;M59,0,(M59-S59)*Setup!$L$22)</f>
        <v>0</v>
      </c>
      <c r="U59" s="1141"/>
      <c r="V59" s="1141"/>
      <c r="W59" s="1141"/>
      <c r="X59" s="1141"/>
      <c r="Y59" s="1141"/>
      <c r="Z59" s="1141"/>
      <c r="AA59" s="1141"/>
      <c r="AB59" s="1141"/>
      <c r="AC59" s="1141"/>
      <c r="AD59" s="1141"/>
      <c r="AE59" s="1141"/>
      <c r="AF59" s="1141"/>
      <c r="AG59" s="1141"/>
      <c r="AH59" s="1141"/>
      <c r="AI59" s="1141"/>
      <c r="AJ59" s="1141"/>
      <c r="AK59" s="1141"/>
      <c r="AL59" s="1141"/>
      <c r="AM59" s="1141"/>
      <c r="AN59" s="1141"/>
      <c r="AO59" s="1141"/>
      <c r="AP59" s="1141"/>
      <c r="AQ59" s="1141"/>
      <c r="AR59" s="1141"/>
      <c r="AS59" s="1141"/>
      <c r="AT59" s="1141"/>
      <c r="AU59" s="1141"/>
      <c r="AV59" s="1141"/>
      <c r="AW59" s="1141"/>
      <c r="AX59" s="1141"/>
      <c r="AY59" s="1141"/>
      <c r="AZ59" s="1141"/>
      <c r="BA59" s="1141"/>
      <c r="BB59" s="1141"/>
      <c r="BC59" s="1141"/>
      <c r="BD59" s="1141"/>
      <c r="BE59" s="1141"/>
      <c r="BF59" s="1141"/>
      <c r="BG59" s="1141"/>
      <c r="BH59" s="1141"/>
      <c r="BI59" s="1141"/>
      <c r="BJ59" s="1141"/>
      <c r="BK59" s="1141"/>
      <c r="BL59" s="1141"/>
      <c r="BM59" s="1141"/>
      <c r="BN59" s="1141"/>
      <c r="BO59" s="1141"/>
      <c r="BP59" s="1141"/>
      <c r="BQ59" s="1141"/>
      <c r="BR59" s="1141"/>
      <c r="BS59" s="1141"/>
      <c r="BT59" s="1141"/>
      <c r="BU59" s="1141"/>
      <c r="BV59" s="1141"/>
      <c r="BW59" s="1141"/>
      <c r="BX59" s="1141"/>
      <c r="BY59" s="1141"/>
      <c r="BZ59" s="1141"/>
      <c r="CA59" s="1141"/>
      <c r="CB59" s="1141"/>
      <c r="CC59" s="1141"/>
      <c r="CD59" s="1141"/>
      <c r="CE59" s="1141"/>
      <c r="CF59" s="1141"/>
      <c r="CG59" s="1141"/>
      <c r="CH59" s="1141"/>
      <c r="CI59" s="1141"/>
      <c r="CJ59" s="1141"/>
      <c r="CK59" s="1141"/>
      <c r="CL59" s="1141"/>
      <c r="CM59" s="1141"/>
      <c r="CN59" s="1141"/>
      <c r="CO59" s="1141"/>
      <c r="CP59" s="1141"/>
    </row>
    <row r="60" spans="1:94">
      <c r="A60" s="1127">
        <v>49</v>
      </c>
      <c r="B60" s="1128"/>
      <c r="C60" s="1083" t="s">
        <v>339</v>
      </c>
      <c r="D60" s="1143">
        <f>ROUND(IF(F60=Lists!$D$5,E60,IF(F60=Lists!$D$6,E60*'Units&amp;Income'!$AV$94,IF(F60=Lists!$D$7,DevCosts!E60*Setup!$D$37,IF(F60=Lists!$D$8,E60*Setup!$D$38,IF(F60=Lists!$D$9,SUM((DevCosts!E60*DevCosts!$D$13),($D$48*E60)),0))))),0)</f>
        <v>0</v>
      </c>
      <c r="E60" s="1145">
        <v>0</v>
      </c>
      <c r="F60" s="1131" t="s">
        <v>273</v>
      </c>
      <c r="G60" s="1132">
        <f>IF(Deal_Overview!$P$28=0,0,D60/Deal_Overview!$P$28)</f>
        <v>0</v>
      </c>
      <c r="H60" s="1133"/>
      <c r="I60" s="1134">
        <f t="shared" si="32"/>
        <v>0</v>
      </c>
      <c r="J60" s="1135">
        <f t="shared" si="33"/>
        <v>0</v>
      </c>
      <c r="K60" s="1136">
        <f t="shared" si="33"/>
        <v>0</v>
      </c>
      <c r="L60" s="1135">
        <f>SUM(I60:K60)*Setup!$L$3</f>
        <v>0</v>
      </c>
      <c r="M60" s="1135">
        <f>I60*Setup!$L$19</f>
        <v>0</v>
      </c>
      <c r="N60" s="1138">
        <f t="shared" si="34"/>
        <v>0</v>
      </c>
      <c r="O60" s="1139"/>
      <c r="P60" s="1137"/>
      <c r="Q60" s="1135">
        <f t="shared" si="7"/>
        <v>0</v>
      </c>
      <c r="R60" s="1155">
        <f t="shared" si="8"/>
        <v>0</v>
      </c>
      <c r="S60" s="1140">
        <f t="shared" ref="S60:S79" si="35">IF(SUM(I60:K60)&gt;0,(L60/SUM(I60:K60))*I60,0)</f>
        <v>0</v>
      </c>
      <c r="T60" s="1141">
        <f>IF(S60&gt;M60,0,(M60-S60)*Setup!$L$22)</f>
        <v>0</v>
      </c>
      <c r="U60" s="1141"/>
      <c r="V60" s="1141"/>
      <c r="W60" s="1141"/>
      <c r="X60" s="1141"/>
      <c r="Y60" s="1141"/>
      <c r="Z60" s="1141"/>
      <c r="AA60" s="1141"/>
      <c r="AB60" s="1141"/>
      <c r="AC60" s="1141"/>
      <c r="AD60" s="1141"/>
      <c r="AE60" s="1141"/>
      <c r="AF60" s="1141"/>
      <c r="AG60" s="1141"/>
      <c r="AH60" s="1141"/>
      <c r="AI60" s="1141"/>
      <c r="AJ60" s="1141"/>
      <c r="AK60" s="1141"/>
      <c r="AL60" s="1141"/>
      <c r="AM60" s="1141"/>
      <c r="AN60" s="1141"/>
      <c r="AO60" s="1141"/>
      <c r="AP60" s="1141"/>
      <c r="AQ60" s="1141"/>
      <c r="AR60" s="1141"/>
      <c r="AS60" s="1141"/>
      <c r="AT60" s="1141"/>
      <c r="AU60" s="1141"/>
      <c r="AV60" s="1141"/>
      <c r="AW60" s="1141"/>
      <c r="AX60" s="1141"/>
      <c r="AY60" s="1141"/>
      <c r="AZ60" s="1141"/>
      <c r="BA60" s="1141"/>
      <c r="BB60" s="1141"/>
      <c r="BC60" s="1141"/>
      <c r="BD60" s="1141"/>
      <c r="BE60" s="1141"/>
      <c r="BF60" s="1141"/>
      <c r="BG60" s="1141"/>
      <c r="BH60" s="1141"/>
      <c r="BI60" s="1141"/>
      <c r="BJ60" s="1141"/>
      <c r="BK60" s="1141"/>
      <c r="BL60" s="1141"/>
      <c r="BM60" s="1141"/>
      <c r="BN60" s="1141"/>
      <c r="BO60" s="1141"/>
      <c r="BP60" s="1141"/>
      <c r="BQ60" s="1141"/>
      <c r="BR60" s="1141"/>
      <c r="BS60" s="1141"/>
      <c r="BT60" s="1141"/>
      <c r="BU60" s="1141"/>
      <c r="BV60" s="1141"/>
      <c r="BW60" s="1141"/>
      <c r="BX60" s="1141"/>
      <c r="BY60" s="1141"/>
      <c r="BZ60" s="1141"/>
      <c r="CA60" s="1141"/>
      <c r="CB60" s="1141"/>
      <c r="CC60" s="1141"/>
      <c r="CD60" s="1141"/>
      <c r="CE60" s="1141"/>
      <c r="CF60" s="1141"/>
      <c r="CG60" s="1141"/>
      <c r="CH60" s="1141"/>
      <c r="CI60" s="1141"/>
      <c r="CJ60" s="1141"/>
      <c r="CK60" s="1141"/>
      <c r="CL60" s="1141"/>
      <c r="CM60" s="1141"/>
      <c r="CN60" s="1141"/>
      <c r="CO60" s="1141"/>
      <c r="CP60" s="1141"/>
    </row>
    <row r="61" spans="1:94">
      <c r="A61" s="1127">
        <v>50</v>
      </c>
      <c r="B61" s="1128"/>
      <c r="C61" s="1083" t="s">
        <v>340</v>
      </c>
      <c r="D61" s="1143">
        <f>ROUND(IF(F61=Lists!$D$5,E61,IF(F61=Lists!$D$6,E61*'Units&amp;Income'!$AV$94,IF(F61=Lists!$D$7,DevCosts!E61*Setup!$D$37,IF(F61=Lists!$D$8,E61*Setup!$D$38,IF(F61=Lists!$D$9,SUM((DevCosts!E61*DevCosts!$D$13),($D$48*E61)),0))))),0)</f>
        <v>0</v>
      </c>
      <c r="E61" s="1145">
        <v>0</v>
      </c>
      <c r="F61" s="1131" t="s">
        <v>273</v>
      </c>
      <c r="G61" s="1132">
        <f>IF(Deal_Overview!$P$28=0,0,D61/Deal_Overview!$P$28)</f>
        <v>0</v>
      </c>
      <c r="H61" s="1133"/>
      <c r="I61" s="1134">
        <f t="shared" si="32"/>
        <v>0</v>
      </c>
      <c r="J61" s="1135">
        <f t="shared" si="33"/>
        <v>0</v>
      </c>
      <c r="K61" s="1136">
        <f t="shared" si="33"/>
        <v>0</v>
      </c>
      <c r="L61" s="1135">
        <f>SUM(I61:K61)*Setup!$L$3</f>
        <v>0</v>
      </c>
      <c r="M61" s="1135">
        <f>I61*Setup!$L$19</f>
        <v>0</v>
      </c>
      <c r="N61" s="1138">
        <f t="shared" si="34"/>
        <v>0</v>
      </c>
      <c r="O61" s="1139"/>
      <c r="P61" s="1137"/>
      <c r="Q61" s="1135">
        <f t="shared" si="7"/>
        <v>0</v>
      </c>
      <c r="R61" s="1155">
        <f t="shared" si="8"/>
        <v>0</v>
      </c>
      <c r="S61" s="1140">
        <f t="shared" si="35"/>
        <v>0</v>
      </c>
      <c r="T61" s="1141">
        <f>IF(S61&gt;M61,0,(M61-S61)*Setup!$L$22)</f>
        <v>0</v>
      </c>
      <c r="U61" s="1141"/>
      <c r="V61" s="1141"/>
      <c r="W61" s="1141"/>
      <c r="X61" s="1141"/>
      <c r="Y61" s="1141"/>
      <c r="Z61" s="1141"/>
      <c r="AA61" s="1141"/>
      <c r="AB61" s="1141"/>
      <c r="AC61" s="1141"/>
      <c r="AD61" s="1141"/>
      <c r="AE61" s="1141"/>
      <c r="AF61" s="1141"/>
      <c r="AG61" s="1141"/>
      <c r="AH61" s="1141"/>
      <c r="AI61" s="1141"/>
      <c r="AJ61" s="1141"/>
      <c r="AK61" s="1141"/>
      <c r="AL61" s="1141"/>
      <c r="AM61" s="1141"/>
      <c r="AN61" s="1141"/>
      <c r="AO61" s="1141"/>
      <c r="AP61" s="1141"/>
      <c r="AQ61" s="1141"/>
      <c r="AR61" s="1141"/>
      <c r="AS61" s="1141"/>
      <c r="AT61" s="1141"/>
      <c r="AU61" s="1141"/>
      <c r="AV61" s="1141"/>
      <c r="AW61" s="1141"/>
      <c r="AX61" s="1141"/>
      <c r="AY61" s="1141"/>
      <c r="AZ61" s="1141"/>
      <c r="BA61" s="1141"/>
      <c r="BB61" s="1141"/>
      <c r="BC61" s="1141"/>
      <c r="BD61" s="1141"/>
      <c r="BE61" s="1141"/>
      <c r="BF61" s="1141"/>
      <c r="BG61" s="1141"/>
      <c r="BH61" s="1141"/>
      <c r="BI61" s="1141"/>
      <c r="BJ61" s="1141"/>
      <c r="BK61" s="1141"/>
      <c r="BL61" s="1141"/>
      <c r="BM61" s="1141"/>
      <c r="BN61" s="1141"/>
      <c r="BO61" s="1141"/>
      <c r="BP61" s="1141"/>
      <c r="BQ61" s="1141"/>
      <c r="BR61" s="1141"/>
      <c r="BS61" s="1141"/>
      <c r="BT61" s="1141"/>
      <c r="BU61" s="1141"/>
      <c r="BV61" s="1141"/>
      <c r="BW61" s="1141"/>
      <c r="BX61" s="1141"/>
      <c r="BY61" s="1141"/>
      <c r="BZ61" s="1141"/>
      <c r="CA61" s="1141"/>
      <c r="CB61" s="1141"/>
      <c r="CC61" s="1141"/>
      <c r="CD61" s="1141"/>
      <c r="CE61" s="1141"/>
      <c r="CF61" s="1141"/>
      <c r="CG61" s="1141"/>
      <c r="CH61" s="1141"/>
      <c r="CI61" s="1141"/>
      <c r="CJ61" s="1141"/>
      <c r="CK61" s="1141"/>
      <c r="CL61" s="1141"/>
      <c r="CM61" s="1141"/>
      <c r="CN61" s="1141"/>
      <c r="CO61" s="1141"/>
      <c r="CP61" s="1141"/>
    </row>
    <row r="62" spans="1:94">
      <c r="A62" s="1127">
        <v>51</v>
      </c>
      <c r="B62" s="1128"/>
      <c r="C62" s="1083" t="s">
        <v>341</v>
      </c>
      <c r="D62" s="1143">
        <f>ROUND(IF(F62=Lists!$D$5,E62,IF(F62=Lists!$D$6,E62*'Units&amp;Income'!$AV$94,IF(F62=Lists!$D$7,DevCosts!E62*Setup!$D$37,IF(F62=Lists!$D$8,E62*Setup!$D$38,IF(F62=Lists!$D$9,SUM((DevCosts!E62*DevCosts!$D$13),($D$48*E62)),0))))),0)</f>
        <v>0</v>
      </c>
      <c r="E62" s="1145">
        <v>0</v>
      </c>
      <c r="F62" s="1131" t="s">
        <v>273</v>
      </c>
      <c r="G62" s="1132">
        <f>IF(Deal_Overview!$P$28=0,0,D62/Deal_Overview!$P$28)</f>
        <v>0</v>
      </c>
      <c r="H62" s="1133"/>
      <c r="I62" s="1134">
        <f t="shared" si="32"/>
        <v>0</v>
      </c>
      <c r="J62" s="1135">
        <f t="shared" si="33"/>
        <v>0</v>
      </c>
      <c r="K62" s="1136">
        <f t="shared" si="33"/>
        <v>0</v>
      </c>
      <c r="L62" s="1135">
        <f>SUM(I62:K62)*Setup!$L$3</f>
        <v>0</v>
      </c>
      <c r="M62" s="1135">
        <f>I62*Setup!$L$19</f>
        <v>0</v>
      </c>
      <c r="N62" s="1138">
        <f t="shared" si="34"/>
        <v>0</v>
      </c>
      <c r="O62" s="1139"/>
      <c r="P62" s="1137"/>
      <c r="Q62" s="1135">
        <f t="shared" si="7"/>
        <v>0</v>
      </c>
      <c r="R62" s="1155">
        <f t="shared" si="8"/>
        <v>0</v>
      </c>
      <c r="S62" s="1140">
        <f t="shared" si="35"/>
        <v>0</v>
      </c>
      <c r="T62" s="1141">
        <f>IF(S62&gt;M62,0,(M62-S62)*Setup!$L$22)</f>
        <v>0</v>
      </c>
      <c r="U62" s="1141"/>
      <c r="V62" s="1141"/>
      <c r="W62" s="1141"/>
      <c r="X62" s="1141"/>
      <c r="Y62" s="1141"/>
      <c r="Z62" s="1141"/>
      <c r="AA62" s="1141"/>
      <c r="AB62" s="1141"/>
      <c r="AC62" s="1141"/>
      <c r="AD62" s="1141"/>
      <c r="AE62" s="1141"/>
      <c r="AF62" s="1141"/>
      <c r="AG62" s="1141"/>
      <c r="AH62" s="1141"/>
      <c r="AI62" s="1141"/>
      <c r="AJ62" s="1141"/>
      <c r="AK62" s="1141"/>
      <c r="AL62" s="1141"/>
      <c r="AM62" s="1141"/>
      <c r="AN62" s="1141"/>
      <c r="AO62" s="1141"/>
      <c r="AP62" s="1141"/>
      <c r="AQ62" s="1141"/>
      <c r="AR62" s="1141"/>
      <c r="AS62" s="1141"/>
      <c r="AT62" s="1141"/>
      <c r="AU62" s="1141"/>
      <c r="AV62" s="1141"/>
      <c r="AW62" s="1141"/>
      <c r="AX62" s="1141"/>
      <c r="AY62" s="1141"/>
      <c r="AZ62" s="1141"/>
      <c r="BA62" s="1141"/>
      <c r="BB62" s="1141"/>
      <c r="BC62" s="1141"/>
      <c r="BD62" s="1141"/>
      <c r="BE62" s="1141"/>
      <c r="BF62" s="1141"/>
      <c r="BG62" s="1141"/>
      <c r="BH62" s="1141"/>
      <c r="BI62" s="1141"/>
      <c r="BJ62" s="1141"/>
      <c r="BK62" s="1141"/>
      <c r="BL62" s="1141"/>
      <c r="BM62" s="1141"/>
      <c r="BN62" s="1141"/>
      <c r="BO62" s="1141"/>
      <c r="BP62" s="1141"/>
      <c r="BQ62" s="1141"/>
      <c r="BR62" s="1141"/>
      <c r="BS62" s="1141"/>
      <c r="BT62" s="1141"/>
      <c r="BU62" s="1141"/>
      <c r="BV62" s="1141"/>
      <c r="BW62" s="1141"/>
      <c r="BX62" s="1141"/>
      <c r="BY62" s="1141"/>
      <c r="BZ62" s="1141"/>
      <c r="CA62" s="1141"/>
      <c r="CB62" s="1141"/>
      <c r="CC62" s="1141"/>
      <c r="CD62" s="1141"/>
      <c r="CE62" s="1141"/>
      <c r="CF62" s="1141"/>
      <c r="CG62" s="1141"/>
      <c r="CH62" s="1141"/>
      <c r="CI62" s="1141"/>
      <c r="CJ62" s="1141"/>
      <c r="CK62" s="1141"/>
      <c r="CL62" s="1141"/>
      <c r="CM62" s="1141"/>
      <c r="CN62" s="1141"/>
      <c r="CO62" s="1141"/>
      <c r="CP62" s="1141"/>
    </row>
    <row r="63" spans="1:94">
      <c r="A63" s="1127">
        <v>52</v>
      </c>
      <c r="B63" s="1128"/>
      <c r="C63" s="1083" t="s">
        <v>342</v>
      </c>
      <c r="D63" s="1143">
        <f>ROUND(IF(F63=Lists!$D$5,E63,IF(F63=Lists!$D$6,E63*'Units&amp;Income'!$AV$94,IF(F63=Lists!$D$7,DevCosts!E63*Setup!$D$37,IF(F63=Lists!$D$8,E63*Setup!$D$38,IF(F63=Lists!$D$9,SUM((DevCosts!E63*DevCosts!$D$13),($D$48*E63)),0))))),0)</f>
        <v>0</v>
      </c>
      <c r="E63" s="1145">
        <v>0</v>
      </c>
      <c r="F63" s="1131" t="s">
        <v>273</v>
      </c>
      <c r="G63" s="1132">
        <f>IF(Deal_Overview!$P$28=0,0,D63/Deal_Overview!$P$28)</f>
        <v>0</v>
      </c>
      <c r="H63" s="1133"/>
      <c r="I63" s="1134">
        <f t="shared" si="32"/>
        <v>0</v>
      </c>
      <c r="J63" s="1135">
        <f t="shared" si="33"/>
        <v>0</v>
      </c>
      <c r="K63" s="1136">
        <f t="shared" si="33"/>
        <v>0</v>
      </c>
      <c r="L63" s="1135">
        <f>SUM(I63:K63)*Setup!$L$3</f>
        <v>0</v>
      </c>
      <c r="M63" s="1135">
        <f>I63*Setup!$L$19</f>
        <v>0</v>
      </c>
      <c r="N63" s="1138">
        <f t="shared" si="34"/>
        <v>0</v>
      </c>
      <c r="O63" s="1139"/>
      <c r="P63" s="1137"/>
      <c r="Q63" s="1135">
        <f t="shared" si="7"/>
        <v>0</v>
      </c>
      <c r="R63" s="1155">
        <f t="shared" si="8"/>
        <v>0</v>
      </c>
      <c r="S63" s="1140">
        <f t="shared" si="35"/>
        <v>0</v>
      </c>
      <c r="T63" s="1141">
        <f>IF(S63&gt;M63,0,(M63-S63)*Setup!$L$22)</f>
        <v>0</v>
      </c>
      <c r="U63" s="1141"/>
      <c r="V63" s="1141"/>
      <c r="W63" s="1141"/>
      <c r="X63" s="1141"/>
      <c r="Y63" s="1141"/>
      <c r="Z63" s="1141"/>
      <c r="AA63" s="1141"/>
      <c r="AB63" s="1141"/>
      <c r="AC63" s="1141"/>
      <c r="AD63" s="1141"/>
      <c r="AE63" s="1141"/>
      <c r="AF63" s="1141"/>
      <c r="AG63" s="1141"/>
      <c r="AH63" s="1141"/>
      <c r="AI63" s="1141"/>
      <c r="AJ63" s="1141"/>
      <c r="AK63" s="1141"/>
      <c r="AL63" s="1141"/>
      <c r="AM63" s="1141"/>
      <c r="AN63" s="1141"/>
      <c r="AO63" s="1141"/>
      <c r="AP63" s="1141"/>
      <c r="AQ63" s="1141"/>
      <c r="AR63" s="1141"/>
      <c r="AS63" s="1141"/>
      <c r="AT63" s="1141"/>
      <c r="AU63" s="1141"/>
      <c r="AV63" s="1141"/>
      <c r="AW63" s="1141"/>
      <c r="AX63" s="1141"/>
      <c r="AY63" s="1141"/>
      <c r="AZ63" s="1141"/>
      <c r="BA63" s="1141"/>
      <c r="BB63" s="1141"/>
      <c r="BC63" s="1141"/>
      <c r="BD63" s="1141"/>
      <c r="BE63" s="1141"/>
      <c r="BF63" s="1141"/>
      <c r="BG63" s="1141"/>
      <c r="BH63" s="1141"/>
      <c r="BI63" s="1141"/>
      <c r="BJ63" s="1141"/>
      <c r="BK63" s="1141"/>
      <c r="BL63" s="1141"/>
      <c r="BM63" s="1141"/>
      <c r="BN63" s="1141"/>
      <c r="BO63" s="1141"/>
      <c r="BP63" s="1141"/>
      <c r="BQ63" s="1141"/>
      <c r="BR63" s="1141"/>
      <c r="BS63" s="1141"/>
      <c r="BT63" s="1141"/>
      <c r="BU63" s="1141"/>
      <c r="BV63" s="1141"/>
      <c r="BW63" s="1141"/>
      <c r="BX63" s="1141"/>
      <c r="BY63" s="1141"/>
      <c r="BZ63" s="1141"/>
      <c r="CA63" s="1141"/>
      <c r="CB63" s="1141"/>
      <c r="CC63" s="1141"/>
      <c r="CD63" s="1141"/>
      <c r="CE63" s="1141"/>
      <c r="CF63" s="1141"/>
      <c r="CG63" s="1141"/>
      <c r="CH63" s="1141"/>
      <c r="CI63" s="1141"/>
      <c r="CJ63" s="1141"/>
      <c r="CK63" s="1141"/>
      <c r="CL63" s="1141"/>
      <c r="CM63" s="1141"/>
      <c r="CN63" s="1141"/>
      <c r="CO63" s="1141"/>
      <c r="CP63" s="1141"/>
    </row>
    <row r="64" spans="1:94">
      <c r="A64" s="1127">
        <v>53</v>
      </c>
      <c r="B64" s="1128"/>
      <c r="C64" s="1083" t="s">
        <v>343</v>
      </c>
      <c r="D64" s="1143">
        <f>ROUND(IF(F64=Lists!$D$5,E64,IF(F64=Lists!$D$6,E64*'Units&amp;Income'!$AV$94,IF(F64=Lists!$D$7,DevCosts!E64*Setup!$D$37,IF(F64=Lists!$D$8,E64*Setup!$D$38,IF(F64=Lists!$D$9,SUM((DevCosts!E64*DevCosts!$D$13),($D$48*E64)),0))))),0)</f>
        <v>0</v>
      </c>
      <c r="E64" s="1145">
        <v>0</v>
      </c>
      <c r="F64" s="1131" t="s">
        <v>273</v>
      </c>
      <c r="G64" s="1132">
        <f>IF(Deal_Overview!$P$28=0,0,D64/Deal_Overview!$P$28)</f>
        <v>0</v>
      </c>
      <c r="H64" s="1133"/>
      <c r="I64" s="1134">
        <f t="shared" si="32"/>
        <v>0</v>
      </c>
      <c r="J64" s="1135">
        <f t="shared" si="33"/>
        <v>0</v>
      </c>
      <c r="K64" s="1136">
        <f t="shared" si="33"/>
        <v>0</v>
      </c>
      <c r="L64" s="1135">
        <f>SUM(I64:K64)*Setup!$L$3</f>
        <v>0</v>
      </c>
      <c r="M64" s="1135">
        <f>I64*Setup!$L$19</f>
        <v>0</v>
      </c>
      <c r="N64" s="1138">
        <f t="shared" si="34"/>
        <v>0</v>
      </c>
      <c r="O64" s="1139"/>
      <c r="P64" s="1137"/>
      <c r="Q64" s="1135">
        <f t="shared" si="7"/>
        <v>0</v>
      </c>
      <c r="R64" s="1155">
        <f t="shared" si="8"/>
        <v>0</v>
      </c>
      <c r="S64" s="1140">
        <f t="shared" si="35"/>
        <v>0</v>
      </c>
      <c r="T64" s="1141">
        <f>IF(S64&gt;M64,0,(M64-S64)*Setup!$L$22)</f>
        <v>0</v>
      </c>
      <c r="U64" s="1141"/>
      <c r="V64" s="1141"/>
      <c r="W64" s="1141"/>
      <c r="X64" s="1141"/>
      <c r="Y64" s="1141"/>
      <c r="Z64" s="1141"/>
      <c r="AA64" s="1141"/>
      <c r="AB64" s="1141"/>
      <c r="AC64" s="1141"/>
      <c r="AD64" s="1141"/>
      <c r="AE64" s="1141"/>
      <c r="AF64" s="1141"/>
      <c r="AG64" s="1141"/>
      <c r="AH64" s="1141"/>
      <c r="AI64" s="1141"/>
      <c r="AJ64" s="1141"/>
      <c r="AK64" s="1141"/>
      <c r="AL64" s="1141"/>
      <c r="AM64" s="1141"/>
      <c r="AN64" s="1141"/>
      <c r="AO64" s="1141"/>
      <c r="AP64" s="1141"/>
      <c r="AQ64" s="1141"/>
      <c r="AR64" s="1141"/>
      <c r="AS64" s="1141"/>
      <c r="AT64" s="1141"/>
      <c r="AU64" s="1141"/>
      <c r="AV64" s="1141"/>
      <c r="AW64" s="1141"/>
      <c r="AX64" s="1141"/>
      <c r="AY64" s="1141"/>
      <c r="AZ64" s="1141"/>
      <c r="BA64" s="1141"/>
      <c r="BB64" s="1141"/>
      <c r="BC64" s="1141"/>
      <c r="BD64" s="1141"/>
      <c r="BE64" s="1141"/>
      <c r="BF64" s="1141"/>
      <c r="BG64" s="1141"/>
      <c r="BH64" s="1141"/>
      <c r="BI64" s="1141"/>
      <c r="BJ64" s="1141"/>
      <c r="BK64" s="1141"/>
      <c r="BL64" s="1141"/>
      <c r="BM64" s="1141"/>
      <c r="BN64" s="1141"/>
      <c r="BO64" s="1141"/>
      <c r="BP64" s="1141"/>
      <c r="BQ64" s="1141"/>
      <c r="BR64" s="1141"/>
      <c r="BS64" s="1141"/>
      <c r="BT64" s="1141"/>
      <c r="BU64" s="1141"/>
      <c r="BV64" s="1141"/>
      <c r="BW64" s="1141"/>
      <c r="BX64" s="1141"/>
      <c r="BY64" s="1141"/>
      <c r="BZ64" s="1141"/>
      <c r="CA64" s="1141"/>
      <c r="CB64" s="1141"/>
      <c r="CC64" s="1141"/>
      <c r="CD64" s="1141"/>
      <c r="CE64" s="1141"/>
      <c r="CF64" s="1141"/>
      <c r="CG64" s="1141"/>
      <c r="CH64" s="1141"/>
      <c r="CI64" s="1141"/>
      <c r="CJ64" s="1141"/>
      <c r="CK64" s="1141"/>
      <c r="CL64" s="1141"/>
      <c r="CM64" s="1141"/>
      <c r="CN64" s="1141"/>
      <c r="CO64" s="1141"/>
      <c r="CP64" s="1141"/>
    </row>
    <row r="65" spans="1:94">
      <c r="A65" s="1127">
        <v>54</v>
      </c>
      <c r="B65" s="1128"/>
      <c r="C65" s="1083" t="s">
        <v>344</v>
      </c>
      <c r="D65" s="1143">
        <f>ROUND(IF(F65=Lists!$D$5,E65,IF(F65=Lists!$D$6,E65*'Units&amp;Income'!$AV$94,IF(F65=Lists!$D$7,DevCosts!E65*Setup!$D$37,IF(F65=Lists!$D$8,E65*Setup!$D$38,IF(F65=Lists!$D$9,SUM((DevCosts!E65*DevCosts!$D$13),($D$48*E65)),0))))),0)</f>
        <v>0</v>
      </c>
      <c r="E65" s="1145">
        <v>0</v>
      </c>
      <c r="F65" s="1131" t="s">
        <v>273</v>
      </c>
      <c r="G65" s="1132">
        <f>IF(Deal_Overview!$P$28=0,0,D65/Deal_Overview!$P$28)</f>
        <v>0</v>
      </c>
      <c r="H65" s="1133"/>
      <c r="I65" s="1134">
        <f t="shared" si="32"/>
        <v>0</v>
      </c>
      <c r="J65" s="1135">
        <f t="shared" si="33"/>
        <v>0</v>
      </c>
      <c r="K65" s="1136">
        <f t="shared" si="33"/>
        <v>0</v>
      </c>
      <c r="L65" s="1135">
        <f>SUM(I65:K65)*Setup!$L$3</f>
        <v>0</v>
      </c>
      <c r="M65" s="1135">
        <f>I65*Setup!$L$19</f>
        <v>0</v>
      </c>
      <c r="N65" s="1138">
        <f t="shared" si="34"/>
        <v>0</v>
      </c>
      <c r="O65" s="1139"/>
      <c r="P65" s="1137"/>
      <c r="Q65" s="1135">
        <f t="shared" si="7"/>
        <v>0</v>
      </c>
      <c r="R65" s="1155">
        <f t="shared" si="8"/>
        <v>0</v>
      </c>
      <c r="S65" s="1140">
        <f t="shared" si="35"/>
        <v>0</v>
      </c>
      <c r="T65" s="1141">
        <f>IF(S65&gt;M65,0,(M65-S65)*Setup!$L$22)</f>
        <v>0</v>
      </c>
      <c r="U65" s="1141"/>
      <c r="V65" s="1141"/>
      <c r="W65" s="1141"/>
      <c r="X65" s="1141"/>
      <c r="Y65" s="1141"/>
      <c r="Z65" s="1141"/>
      <c r="AA65" s="1141"/>
      <c r="AB65" s="1141"/>
      <c r="AC65" s="1141"/>
      <c r="AD65" s="1141"/>
      <c r="AE65" s="1141"/>
      <c r="AF65" s="1141"/>
      <c r="AG65" s="1141"/>
      <c r="AH65" s="1141"/>
      <c r="AI65" s="1141"/>
      <c r="AJ65" s="1141"/>
      <c r="AK65" s="1141"/>
      <c r="AL65" s="1141"/>
      <c r="AM65" s="1141"/>
      <c r="AN65" s="1141"/>
      <c r="AO65" s="1141"/>
      <c r="AP65" s="1141"/>
      <c r="AQ65" s="1141"/>
      <c r="AR65" s="1141"/>
      <c r="AS65" s="1141"/>
      <c r="AT65" s="1141"/>
      <c r="AU65" s="1141"/>
      <c r="AV65" s="1141"/>
      <c r="AW65" s="1141"/>
      <c r="AX65" s="1141"/>
      <c r="AY65" s="1141"/>
      <c r="AZ65" s="1141"/>
      <c r="BA65" s="1141"/>
      <c r="BB65" s="1141"/>
      <c r="BC65" s="1141"/>
      <c r="BD65" s="1141"/>
      <c r="BE65" s="1141"/>
      <c r="BF65" s="1141"/>
      <c r="BG65" s="1141"/>
      <c r="BH65" s="1141"/>
      <c r="BI65" s="1141"/>
      <c r="BJ65" s="1141"/>
      <c r="BK65" s="1141"/>
      <c r="BL65" s="1141"/>
      <c r="BM65" s="1141"/>
      <c r="BN65" s="1141"/>
      <c r="BO65" s="1141"/>
      <c r="BP65" s="1141"/>
      <c r="BQ65" s="1141"/>
      <c r="BR65" s="1141"/>
      <c r="BS65" s="1141"/>
      <c r="BT65" s="1141"/>
      <c r="BU65" s="1141"/>
      <c r="BV65" s="1141"/>
      <c r="BW65" s="1141"/>
      <c r="BX65" s="1141"/>
      <c r="BY65" s="1141"/>
      <c r="BZ65" s="1141"/>
      <c r="CA65" s="1141"/>
      <c r="CB65" s="1141"/>
      <c r="CC65" s="1141"/>
      <c r="CD65" s="1141"/>
      <c r="CE65" s="1141"/>
      <c r="CF65" s="1141"/>
      <c r="CG65" s="1141"/>
      <c r="CH65" s="1141"/>
      <c r="CI65" s="1141"/>
      <c r="CJ65" s="1141"/>
      <c r="CK65" s="1141"/>
      <c r="CL65" s="1141"/>
      <c r="CM65" s="1141"/>
      <c r="CN65" s="1141"/>
      <c r="CO65" s="1141"/>
      <c r="CP65" s="1141"/>
    </row>
    <row r="66" spans="1:94">
      <c r="A66" s="1127">
        <v>55</v>
      </c>
      <c r="B66" s="1128"/>
      <c r="C66" s="1083" t="s">
        <v>345</v>
      </c>
      <c r="D66" s="1143">
        <f>ROUND(IF(F66=Lists!$D$5,E66,IF(F66=Lists!$D$6,E66*'Units&amp;Income'!$AV$94,IF(F66=Lists!$D$7,DevCosts!E66*Setup!$D$37,IF(F66=Lists!$D$8,E66*Setup!$D$38,IF(F66=Lists!$D$9,SUM((DevCosts!E66*DevCosts!$D$13),($D$48*E66)),0))))),0)</f>
        <v>0</v>
      </c>
      <c r="E66" s="1145">
        <v>0</v>
      </c>
      <c r="F66" s="1131" t="s">
        <v>273</v>
      </c>
      <c r="G66" s="1132">
        <f>IF(Deal_Overview!$P$28=0,0,D66/Deal_Overview!$P$28)</f>
        <v>0</v>
      </c>
      <c r="H66" s="1133"/>
      <c r="I66" s="1134">
        <f>D66*0.5</f>
        <v>0</v>
      </c>
      <c r="J66" s="1135">
        <f t="shared" si="33"/>
        <v>0</v>
      </c>
      <c r="K66" s="1136">
        <f t="shared" si="33"/>
        <v>0</v>
      </c>
      <c r="L66" s="1135">
        <f>SUM(I66:K66)*Setup!$L$3</f>
        <v>0</v>
      </c>
      <c r="M66" s="1135">
        <f>I66*Setup!$L$19</f>
        <v>0</v>
      </c>
      <c r="N66" s="1138">
        <f t="shared" si="34"/>
        <v>0</v>
      </c>
      <c r="O66" s="1139"/>
      <c r="P66" s="1137"/>
      <c r="Q66" s="1135">
        <f t="shared" si="7"/>
        <v>0</v>
      </c>
      <c r="R66" s="1155">
        <f t="shared" si="8"/>
        <v>0</v>
      </c>
      <c r="S66" s="1140">
        <f t="shared" si="35"/>
        <v>0</v>
      </c>
      <c r="T66" s="1141">
        <f>IF(S66&gt;M66,0,(M66-S66)*Setup!$L$22)</f>
        <v>0</v>
      </c>
      <c r="U66" s="1141"/>
      <c r="V66" s="1141"/>
      <c r="W66" s="1141"/>
      <c r="X66" s="1141"/>
      <c r="Y66" s="1141"/>
      <c r="Z66" s="1141"/>
      <c r="AA66" s="1141"/>
      <c r="AB66" s="1141"/>
      <c r="AC66" s="1141"/>
      <c r="AD66" s="1141"/>
      <c r="AE66" s="1141"/>
      <c r="AF66" s="1141"/>
      <c r="AG66" s="1141"/>
      <c r="AH66" s="1141"/>
      <c r="AI66" s="1141"/>
      <c r="AJ66" s="1141"/>
      <c r="AK66" s="1141"/>
      <c r="AL66" s="1141"/>
      <c r="AM66" s="1141"/>
      <c r="AN66" s="1141"/>
      <c r="AO66" s="1141"/>
      <c r="AP66" s="1141"/>
      <c r="AQ66" s="1141"/>
      <c r="AR66" s="1141"/>
      <c r="AS66" s="1141"/>
      <c r="AT66" s="1141"/>
      <c r="AU66" s="1141"/>
      <c r="AV66" s="1141"/>
      <c r="AW66" s="1141"/>
      <c r="AX66" s="1141"/>
      <c r="AY66" s="1141"/>
      <c r="AZ66" s="1141"/>
      <c r="BA66" s="1141"/>
      <c r="BB66" s="1141"/>
      <c r="BC66" s="1141"/>
      <c r="BD66" s="1141"/>
      <c r="BE66" s="1141"/>
      <c r="BF66" s="1141"/>
      <c r="BG66" s="1141"/>
      <c r="BH66" s="1141"/>
      <c r="BI66" s="1141"/>
      <c r="BJ66" s="1141"/>
      <c r="BK66" s="1141"/>
      <c r="BL66" s="1141"/>
      <c r="BM66" s="1141"/>
      <c r="BN66" s="1141"/>
      <c r="BO66" s="1141"/>
      <c r="BP66" s="1141"/>
      <c r="BQ66" s="1141"/>
      <c r="BR66" s="1141"/>
      <c r="BS66" s="1141"/>
      <c r="BT66" s="1141"/>
      <c r="BU66" s="1141"/>
      <c r="BV66" s="1141"/>
      <c r="BW66" s="1141"/>
      <c r="BX66" s="1141"/>
      <c r="BY66" s="1141"/>
      <c r="BZ66" s="1141"/>
      <c r="CA66" s="1141"/>
      <c r="CB66" s="1141"/>
      <c r="CC66" s="1141"/>
      <c r="CD66" s="1141"/>
      <c r="CE66" s="1141"/>
      <c r="CF66" s="1141"/>
      <c r="CG66" s="1141"/>
      <c r="CH66" s="1141"/>
      <c r="CI66" s="1141"/>
      <c r="CJ66" s="1141"/>
      <c r="CK66" s="1141"/>
      <c r="CL66" s="1141"/>
      <c r="CM66" s="1141"/>
      <c r="CN66" s="1141"/>
      <c r="CO66" s="1141"/>
      <c r="CP66" s="1141"/>
    </row>
    <row r="67" spans="1:94">
      <c r="A67" s="1127">
        <v>56</v>
      </c>
      <c r="B67" s="1128"/>
      <c r="C67" s="1083" t="s">
        <v>346</v>
      </c>
      <c r="D67" s="1143">
        <f>ROUND(IF(F67=Lists!$D$5,E67,IF(F67=Lists!$D$6,E67*'Units&amp;Income'!$AV$94,IF(F67=Lists!$D$7,DevCosts!E67*Setup!$D$37,IF(F67=Lists!$D$8,E67*Setup!$D$38,IF(F67=Lists!$D$9,SUM((DevCosts!E67*DevCosts!$D$13),($D$48*E67)),0))))),0)</f>
        <v>0</v>
      </c>
      <c r="E67" s="1145">
        <v>0</v>
      </c>
      <c r="F67" s="1131" t="s">
        <v>273</v>
      </c>
      <c r="G67" s="1132">
        <f>IF(Deal_Overview!$P$28=0,0,D67/Deal_Overview!$P$28)</f>
        <v>0</v>
      </c>
      <c r="H67" s="1133"/>
      <c r="I67" s="1134">
        <f>$D67*0</f>
        <v>0</v>
      </c>
      <c r="J67" s="1135">
        <f t="shared" si="33"/>
        <v>0</v>
      </c>
      <c r="K67" s="1136">
        <f t="shared" si="33"/>
        <v>0</v>
      </c>
      <c r="L67" s="1135">
        <f>SUM(I67:K67)*Setup!$L$3</f>
        <v>0</v>
      </c>
      <c r="M67" s="1135">
        <f>I67*Setup!$L$19</f>
        <v>0</v>
      </c>
      <c r="N67" s="1138">
        <f t="shared" si="34"/>
        <v>0</v>
      </c>
      <c r="O67" s="1139"/>
      <c r="P67" s="1137"/>
      <c r="Q67" s="1135">
        <f t="shared" si="7"/>
        <v>0</v>
      </c>
      <c r="R67" s="1155">
        <f t="shared" si="8"/>
        <v>0</v>
      </c>
      <c r="S67" s="1140">
        <f t="shared" si="35"/>
        <v>0</v>
      </c>
      <c r="T67" s="1141">
        <f>IF(S67&gt;M67,0,(M67-S67)*Setup!$L$22)</f>
        <v>0</v>
      </c>
      <c r="U67" s="1141"/>
      <c r="V67" s="1141"/>
      <c r="W67" s="1141"/>
      <c r="X67" s="1141"/>
      <c r="Y67" s="1141"/>
      <c r="Z67" s="1141"/>
      <c r="AA67" s="1141"/>
      <c r="AB67" s="1141"/>
      <c r="AC67" s="1141"/>
      <c r="AD67" s="1141"/>
      <c r="AE67" s="1141"/>
      <c r="AF67" s="1141"/>
      <c r="AG67" s="1141"/>
      <c r="AH67" s="1141"/>
      <c r="AI67" s="1141"/>
      <c r="AJ67" s="1141"/>
      <c r="AK67" s="1141"/>
      <c r="AL67" s="1141"/>
      <c r="AM67" s="1141"/>
      <c r="AN67" s="1141"/>
      <c r="AO67" s="1141"/>
      <c r="AP67" s="1141"/>
      <c r="AQ67" s="1141"/>
      <c r="AR67" s="1141"/>
      <c r="AS67" s="1141"/>
      <c r="AT67" s="1141"/>
      <c r="AU67" s="1141"/>
      <c r="AV67" s="1141"/>
      <c r="AW67" s="1141"/>
      <c r="AX67" s="1141"/>
      <c r="AY67" s="1141"/>
      <c r="AZ67" s="1141"/>
      <c r="BA67" s="1141"/>
      <c r="BB67" s="1141"/>
      <c r="BC67" s="1141"/>
      <c r="BD67" s="1141"/>
      <c r="BE67" s="1141"/>
      <c r="BF67" s="1141"/>
      <c r="BG67" s="1141"/>
      <c r="BH67" s="1141"/>
      <c r="BI67" s="1141"/>
      <c r="BJ67" s="1141"/>
      <c r="BK67" s="1141"/>
      <c r="BL67" s="1141"/>
      <c r="BM67" s="1141"/>
      <c r="BN67" s="1141"/>
      <c r="BO67" s="1141"/>
      <c r="BP67" s="1141"/>
      <c r="BQ67" s="1141"/>
      <c r="BR67" s="1141"/>
      <c r="BS67" s="1141"/>
      <c r="BT67" s="1141"/>
      <c r="BU67" s="1141"/>
      <c r="BV67" s="1141"/>
      <c r="BW67" s="1141"/>
      <c r="BX67" s="1141"/>
      <c r="BY67" s="1141"/>
      <c r="BZ67" s="1141"/>
      <c r="CA67" s="1141"/>
      <c r="CB67" s="1141"/>
      <c r="CC67" s="1141"/>
      <c r="CD67" s="1141"/>
      <c r="CE67" s="1141"/>
      <c r="CF67" s="1141"/>
      <c r="CG67" s="1141"/>
      <c r="CH67" s="1141"/>
      <c r="CI67" s="1141"/>
      <c r="CJ67" s="1141"/>
      <c r="CK67" s="1141"/>
      <c r="CL67" s="1141"/>
      <c r="CM67" s="1141"/>
      <c r="CN67" s="1141"/>
      <c r="CO67" s="1141"/>
      <c r="CP67" s="1141"/>
    </row>
    <row r="68" spans="1:94">
      <c r="A68" s="1127">
        <v>57</v>
      </c>
      <c r="B68" s="1128"/>
      <c r="C68" s="1083" t="s">
        <v>347</v>
      </c>
      <c r="D68" s="1143">
        <f>ROUND(IF(F68=Lists!$D$5,E68,IF(F68=Lists!$D$6,E68*'Units&amp;Income'!$AV$94,IF(F68=Lists!$D$7,DevCosts!E68*Setup!$D$37,IF(F68=Lists!$D$8,E68*Setup!$D$38,IF(F68=Lists!$D$9,SUM((DevCosts!E68*DevCosts!$D$13),($D$48*E68)),0))))),0)</f>
        <v>0</v>
      </c>
      <c r="E68" s="1145">
        <v>0</v>
      </c>
      <c r="F68" s="1131" t="s">
        <v>273</v>
      </c>
      <c r="G68" s="1132">
        <f>IF(Deal_Overview!$P$28=0,0,D68/Deal_Overview!$P$28)</f>
        <v>0</v>
      </c>
      <c r="H68" s="1133"/>
      <c r="I68" s="1134">
        <f>D68*0.2</f>
        <v>0</v>
      </c>
      <c r="J68" s="1135">
        <f t="shared" si="33"/>
        <v>0</v>
      </c>
      <c r="K68" s="1136">
        <f t="shared" si="33"/>
        <v>0</v>
      </c>
      <c r="L68" s="1135">
        <f>SUM(I68:K68)*Setup!$L$3</f>
        <v>0</v>
      </c>
      <c r="M68" s="1135">
        <f>I68*Setup!$L$19</f>
        <v>0</v>
      </c>
      <c r="N68" s="1138">
        <f t="shared" si="34"/>
        <v>0</v>
      </c>
      <c r="O68" s="1139"/>
      <c r="P68" s="1137"/>
      <c r="Q68" s="1135">
        <f t="shared" si="7"/>
        <v>0</v>
      </c>
      <c r="R68" s="1155">
        <f t="shared" si="8"/>
        <v>0</v>
      </c>
      <c r="S68" s="1140">
        <f t="shared" si="35"/>
        <v>0</v>
      </c>
      <c r="T68" s="1141">
        <f>IF(S68&gt;M68,0,(M68-S68)*Setup!$L$22)</f>
        <v>0</v>
      </c>
      <c r="U68" s="1141"/>
      <c r="V68" s="1141"/>
      <c r="W68" s="1141"/>
      <c r="X68" s="1141"/>
      <c r="Y68" s="1141"/>
      <c r="Z68" s="1141"/>
      <c r="AA68" s="1141"/>
      <c r="AB68" s="1141"/>
      <c r="AC68" s="1141"/>
      <c r="AD68" s="1141"/>
      <c r="AE68" s="1141"/>
      <c r="AF68" s="1141"/>
      <c r="AG68" s="1141"/>
      <c r="AH68" s="1141"/>
      <c r="AI68" s="1141"/>
      <c r="AJ68" s="1141"/>
      <c r="AK68" s="1141"/>
      <c r="AL68" s="1141"/>
      <c r="AM68" s="1141"/>
      <c r="AN68" s="1141"/>
      <c r="AO68" s="1141"/>
      <c r="AP68" s="1141"/>
      <c r="AQ68" s="1141"/>
      <c r="AR68" s="1141"/>
      <c r="AS68" s="1141"/>
      <c r="AT68" s="1141"/>
      <c r="AU68" s="1141"/>
      <c r="AV68" s="1141"/>
      <c r="AW68" s="1141"/>
      <c r="AX68" s="1141"/>
      <c r="AY68" s="1141"/>
      <c r="AZ68" s="1141"/>
      <c r="BA68" s="1141"/>
      <c r="BB68" s="1141"/>
      <c r="BC68" s="1141"/>
      <c r="BD68" s="1141"/>
      <c r="BE68" s="1141"/>
      <c r="BF68" s="1141"/>
      <c r="BG68" s="1141"/>
      <c r="BH68" s="1141"/>
      <c r="BI68" s="1141"/>
      <c r="BJ68" s="1141"/>
      <c r="BK68" s="1141"/>
      <c r="BL68" s="1141"/>
      <c r="BM68" s="1141"/>
      <c r="BN68" s="1141"/>
      <c r="BO68" s="1141"/>
      <c r="BP68" s="1141"/>
      <c r="BQ68" s="1141"/>
      <c r="BR68" s="1141"/>
      <c r="BS68" s="1141"/>
      <c r="BT68" s="1141"/>
      <c r="BU68" s="1141"/>
      <c r="BV68" s="1141"/>
      <c r="BW68" s="1141"/>
      <c r="BX68" s="1141"/>
      <c r="BY68" s="1141"/>
      <c r="BZ68" s="1141"/>
      <c r="CA68" s="1141"/>
      <c r="CB68" s="1141"/>
      <c r="CC68" s="1141"/>
      <c r="CD68" s="1141"/>
      <c r="CE68" s="1141"/>
      <c r="CF68" s="1141"/>
      <c r="CG68" s="1141"/>
      <c r="CH68" s="1141"/>
      <c r="CI68" s="1141"/>
      <c r="CJ68" s="1141"/>
      <c r="CK68" s="1141"/>
      <c r="CL68" s="1141"/>
      <c r="CM68" s="1141"/>
      <c r="CN68" s="1141"/>
      <c r="CO68" s="1141"/>
      <c r="CP68" s="1141"/>
    </row>
    <row r="69" spans="1:94">
      <c r="A69" s="1127">
        <v>58</v>
      </c>
      <c r="B69" s="1128"/>
      <c r="C69" s="1083" t="s">
        <v>348</v>
      </c>
      <c r="D69" s="1143">
        <f>ROUND(IF(F69=Lists!$D$5,E69,IF(F69=Lists!$D$6,E69*'Units&amp;Income'!$AV$94,IF(F69=Lists!$D$7,DevCosts!E69*Setup!$D$37,IF(F69=Lists!$D$8,E69*Setup!$D$38,IF(F69=Lists!$D$9,SUM((DevCosts!E69*DevCosts!$D$13),($D$48*E69)),0))))),0)</f>
        <v>0</v>
      </c>
      <c r="E69" s="1145">
        <v>0</v>
      </c>
      <c r="F69" s="1131" t="s">
        <v>273</v>
      </c>
      <c r="G69" s="1132">
        <f>IF(Deal_Overview!$P$28=0,0,D69/Deal_Overview!$P$28)</f>
        <v>0</v>
      </c>
      <c r="H69" s="1133"/>
      <c r="I69" s="1134">
        <f>D69*0.1</f>
        <v>0</v>
      </c>
      <c r="J69" s="1135">
        <f t="shared" si="33"/>
        <v>0</v>
      </c>
      <c r="K69" s="1136">
        <f t="shared" si="33"/>
        <v>0</v>
      </c>
      <c r="L69" s="1135">
        <f>SUM(I69:K69)*Setup!$L$3</f>
        <v>0</v>
      </c>
      <c r="M69" s="1135">
        <f>I69*Setup!$L$19</f>
        <v>0</v>
      </c>
      <c r="N69" s="1138">
        <f t="shared" si="34"/>
        <v>0</v>
      </c>
      <c r="O69" s="1139"/>
      <c r="P69" s="1137"/>
      <c r="Q69" s="1135">
        <f t="shared" si="7"/>
        <v>0</v>
      </c>
      <c r="R69" s="1155">
        <f t="shared" si="8"/>
        <v>0</v>
      </c>
      <c r="S69" s="1140">
        <f t="shared" si="35"/>
        <v>0</v>
      </c>
      <c r="T69" s="1141">
        <f>IF(S69&gt;M69,0,(M69-S69)*Setup!$L$22)</f>
        <v>0</v>
      </c>
      <c r="U69" s="1141"/>
      <c r="V69" s="1141"/>
      <c r="W69" s="1141"/>
      <c r="X69" s="1141"/>
      <c r="Y69" s="1141"/>
      <c r="Z69" s="1141"/>
      <c r="AA69" s="1141"/>
      <c r="AB69" s="1141"/>
      <c r="AC69" s="1141"/>
      <c r="AD69" s="1141"/>
      <c r="AE69" s="1141"/>
      <c r="AF69" s="1141"/>
      <c r="AG69" s="1141"/>
      <c r="AH69" s="1141"/>
      <c r="AI69" s="1141"/>
      <c r="AJ69" s="1141"/>
      <c r="AK69" s="1141"/>
      <c r="AL69" s="1141"/>
      <c r="AM69" s="1141"/>
      <c r="AN69" s="1141"/>
      <c r="AO69" s="1141"/>
      <c r="AP69" s="1141"/>
      <c r="AQ69" s="1141"/>
      <c r="AR69" s="1141"/>
      <c r="AS69" s="1141"/>
      <c r="AT69" s="1141"/>
      <c r="AU69" s="1141"/>
      <c r="AV69" s="1141"/>
      <c r="AW69" s="1141"/>
      <c r="AX69" s="1141"/>
      <c r="AY69" s="1141"/>
      <c r="AZ69" s="1141"/>
      <c r="BA69" s="1141"/>
      <c r="BB69" s="1141"/>
      <c r="BC69" s="1141"/>
      <c r="BD69" s="1141"/>
      <c r="BE69" s="1141"/>
      <c r="BF69" s="1141"/>
      <c r="BG69" s="1141"/>
      <c r="BH69" s="1141"/>
      <c r="BI69" s="1141"/>
      <c r="BJ69" s="1141"/>
      <c r="BK69" s="1141"/>
      <c r="BL69" s="1141"/>
      <c r="BM69" s="1141"/>
      <c r="BN69" s="1141"/>
      <c r="BO69" s="1141"/>
      <c r="BP69" s="1141"/>
      <c r="BQ69" s="1141"/>
      <c r="BR69" s="1141"/>
      <c r="BS69" s="1141"/>
      <c r="BT69" s="1141"/>
      <c r="BU69" s="1141"/>
      <c r="BV69" s="1141"/>
      <c r="BW69" s="1141"/>
      <c r="BX69" s="1141"/>
      <c r="BY69" s="1141"/>
      <c r="BZ69" s="1141"/>
      <c r="CA69" s="1141"/>
      <c r="CB69" s="1141"/>
      <c r="CC69" s="1141"/>
      <c r="CD69" s="1141"/>
      <c r="CE69" s="1141"/>
      <c r="CF69" s="1141"/>
      <c r="CG69" s="1141"/>
      <c r="CH69" s="1141"/>
      <c r="CI69" s="1141"/>
      <c r="CJ69" s="1141"/>
      <c r="CK69" s="1141"/>
      <c r="CL69" s="1141"/>
      <c r="CM69" s="1141"/>
      <c r="CN69" s="1141"/>
      <c r="CO69" s="1141"/>
      <c r="CP69" s="1141"/>
    </row>
    <row r="70" spans="1:94">
      <c r="A70" s="1127">
        <v>59</v>
      </c>
      <c r="B70" s="1128"/>
      <c r="C70" s="1083" t="s">
        <v>349</v>
      </c>
      <c r="D70" s="1143">
        <f>ROUND(IF(F70=Lists!$D$5,E70,IF(F70=Lists!$D$6,E70*'Units&amp;Income'!$AV$94,IF(F70=Lists!$D$7,DevCosts!E70*Setup!$D$37,IF(F70=Lists!$D$8,E70*Setup!$D$38,IF(F70=Lists!$D$9,SUM((DevCosts!E70*DevCosts!$D$13),($D$48*E70)),0))))),0)</f>
        <v>0</v>
      </c>
      <c r="E70" s="1145">
        <v>0</v>
      </c>
      <c r="F70" s="1131" t="s">
        <v>273</v>
      </c>
      <c r="G70" s="1132">
        <f>IF(Deal_Overview!$P$28=0,0,D70/Deal_Overview!$P$28)</f>
        <v>0</v>
      </c>
      <c r="H70" s="1133"/>
      <c r="I70" s="1134">
        <f>$D70*0</f>
        <v>0</v>
      </c>
      <c r="J70" s="1135">
        <f t="shared" si="33"/>
        <v>0</v>
      </c>
      <c r="K70" s="1136">
        <f t="shared" si="33"/>
        <v>0</v>
      </c>
      <c r="L70" s="1135">
        <f>SUM(I70:K70)*Setup!$L$3</f>
        <v>0</v>
      </c>
      <c r="M70" s="1135">
        <f>I70*Setup!$L$19</f>
        <v>0</v>
      </c>
      <c r="N70" s="1138">
        <f t="shared" si="34"/>
        <v>0</v>
      </c>
      <c r="O70" s="1139"/>
      <c r="P70" s="1137"/>
      <c r="Q70" s="1135">
        <f t="shared" si="7"/>
        <v>0</v>
      </c>
      <c r="R70" s="1155">
        <f t="shared" si="8"/>
        <v>0</v>
      </c>
      <c r="S70" s="1140">
        <f t="shared" si="35"/>
        <v>0</v>
      </c>
      <c r="T70" s="1141">
        <f>IF(S70&gt;M70,0,(M70-S70)*Setup!$L$22)</f>
        <v>0</v>
      </c>
      <c r="U70" s="1141"/>
      <c r="V70" s="1141"/>
      <c r="W70" s="1141"/>
      <c r="X70" s="1141"/>
      <c r="Y70" s="1141"/>
      <c r="Z70" s="1141"/>
      <c r="AA70" s="1141"/>
      <c r="AB70" s="1141"/>
      <c r="AC70" s="1141"/>
      <c r="AD70" s="1141"/>
      <c r="AE70" s="1141"/>
      <c r="AF70" s="1141"/>
      <c r="AG70" s="1141"/>
      <c r="AH70" s="1141"/>
      <c r="AI70" s="1141"/>
      <c r="AJ70" s="1141"/>
      <c r="AK70" s="1141"/>
      <c r="AL70" s="1141"/>
      <c r="AM70" s="1141"/>
      <c r="AN70" s="1141"/>
      <c r="AO70" s="1141"/>
      <c r="AP70" s="1141"/>
      <c r="AQ70" s="1141"/>
      <c r="AR70" s="1141"/>
      <c r="AS70" s="1141"/>
      <c r="AT70" s="1141"/>
      <c r="AU70" s="1141"/>
      <c r="AV70" s="1141"/>
      <c r="AW70" s="1141"/>
      <c r="AX70" s="1141"/>
      <c r="AY70" s="1141"/>
      <c r="AZ70" s="1141"/>
      <c r="BA70" s="1141"/>
      <c r="BB70" s="1141"/>
      <c r="BC70" s="1141"/>
      <c r="BD70" s="1141"/>
      <c r="BE70" s="1141"/>
      <c r="BF70" s="1141"/>
      <c r="BG70" s="1141"/>
      <c r="BH70" s="1141"/>
      <c r="BI70" s="1141"/>
      <c r="BJ70" s="1141"/>
      <c r="BK70" s="1141"/>
      <c r="BL70" s="1141"/>
      <c r="BM70" s="1141"/>
      <c r="BN70" s="1141"/>
      <c r="BO70" s="1141"/>
      <c r="BP70" s="1141"/>
      <c r="BQ70" s="1141"/>
      <c r="BR70" s="1141"/>
      <c r="BS70" s="1141"/>
      <c r="BT70" s="1141"/>
      <c r="BU70" s="1141"/>
      <c r="BV70" s="1141"/>
      <c r="BW70" s="1141"/>
      <c r="BX70" s="1141"/>
      <c r="BY70" s="1141"/>
      <c r="BZ70" s="1141"/>
      <c r="CA70" s="1141"/>
      <c r="CB70" s="1141"/>
      <c r="CC70" s="1141"/>
      <c r="CD70" s="1141"/>
      <c r="CE70" s="1141"/>
      <c r="CF70" s="1141"/>
      <c r="CG70" s="1141"/>
      <c r="CH70" s="1141"/>
      <c r="CI70" s="1141"/>
      <c r="CJ70" s="1141"/>
      <c r="CK70" s="1141"/>
      <c r="CL70" s="1141"/>
      <c r="CM70" s="1141"/>
      <c r="CN70" s="1141"/>
      <c r="CO70" s="1141"/>
      <c r="CP70" s="1141"/>
    </row>
    <row r="71" spans="1:94">
      <c r="A71" s="1127">
        <v>60</v>
      </c>
      <c r="B71" s="1128"/>
      <c r="C71" s="1083" t="s">
        <v>350</v>
      </c>
      <c r="D71" s="1143">
        <f>ROUND(IF(F71=Lists!$D$5,E71,IF(F71=Lists!$D$6,E71*'Units&amp;Income'!$AV$94,IF(F71=Lists!$D$7,DevCosts!E71*Setup!$D$37,IF(F71=Lists!$D$8,E71*Setup!$D$38,IF(F71=Lists!$D$9,SUM((DevCosts!E71*DevCosts!$D$13),($D$48*E71)),0))))),0)</f>
        <v>0</v>
      </c>
      <c r="E71" s="1145">
        <v>0</v>
      </c>
      <c r="F71" s="1131" t="s">
        <v>273</v>
      </c>
      <c r="G71" s="1132">
        <f>IF(Deal_Overview!$P$28=0,0,D71/Deal_Overview!$P$28)</f>
        <v>0</v>
      </c>
      <c r="H71" s="1133"/>
      <c r="I71" s="1134">
        <f>D71*1</f>
        <v>0</v>
      </c>
      <c r="J71" s="1135">
        <f t="shared" si="33"/>
        <v>0</v>
      </c>
      <c r="K71" s="1136">
        <f t="shared" si="33"/>
        <v>0</v>
      </c>
      <c r="L71" s="1135">
        <f>SUM(I71:K71)*Setup!$L$3</f>
        <v>0</v>
      </c>
      <c r="M71" s="1135">
        <f>I71*Setup!$L$19</f>
        <v>0</v>
      </c>
      <c r="N71" s="1138">
        <f t="shared" si="34"/>
        <v>0</v>
      </c>
      <c r="O71" s="1139"/>
      <c r="P71" s="1137"/>
      <c r="Q71" s="1135">
        <f t="shared" si="7"/>
        <v>0</v>
      </c>
      <c r="R71" s="1155">
        <f t="shared" si="8"/>
        <v>0</v>
      </c>
      <c r="S71" s="1140">
        <f t="shared" si="35"/>
        <v>0</v>
      </c>
      <c r="T71" s="1141">
        <f>IF(S71&gt;M71,0,(M71-S71)*Setup!$L$22)</f>
        <v>0</v>
      </c>
      <c r="U71" s="1141"/>
      <c r="V71" s="1141"/>
      <c r="W71" s="1141"/>
      <c r="X71" s="1141"/>
      <c r="Y71" s="1141"/>
      <c r="Z71" s="1141"/>
      <c r="AA71" s="1141"/>
      <c r="AB71" s="1141"/>
      <c r="AC71" s="1141"/>
      <c r="AD71" s="1141"/>
      <c r="AE71" s="1141"/>
      <c r="AF71" s="1141"/>
      <c r="AG71" s="1141"/>
      <c r="AH71" s="1141"/>
      <c r="AI71" s="1141"/>
      <c r="AJ71" s="1141"/>
      <c r="AK71" s="1141"/>
      <c r="AL71" s="1141"/>
      <c r="AM71" s="1141"/>
      <c r="AN71" s="1141"/>
      <c r="AO71" s="1141"/>
      <c r="AP71" s="1141"/>
      <c r="AQ71" s="1141"/>
      <c r="AR71" s="1141"/>
      <c r="AS71" s="1141"/>
      <c r="AT71" s="1141"/>
      <c r="AU71" s="1141"/>
      <c r="AV71" s="1141"/>
      <c r="AW71" s="1141"/>
      <c r="AX71" s="1141"/>
      <c r="AY71" s="1141"/>
      <c r="AZ71" s="1141"/>
      <c r="BA71" s="1141"/>
      <c r="BB71" s="1141"/>
      <c r="BC71" s="1141"/>
      <c r="BD71" s="1141"/>
      <c r="BE71" s="1141"/>
      <c r="BF71" s="1141"/>
      <c r="BG71" s="1141"/>
      <c r="BH71" s="1141"/>
      <c r="BI71" s="1141"/>
      <c r="BJ71" s="1141"/>
      <c r="BK71" s="1141"/>
      <c r="BL71" s="1141"/>
      <c r="BM71" s="1141"/>
      <c r="BN71" s="1141"/>
      <c r="BO71" s="1141"/>
      <c r="BP71" s="1141"/>
      <c r="BQ71" s="1141"/>
      <c r="BR71" s="1141"/>
      <c r="BS71" s="1141"/>
      <c r="BT71" s="1141"/>
      <c r="BU71" s="1141"/>
      <c r="BV71" s="1141"/>
      <c r="BW71" s="1141"/>
      <c r="BX71" s="1141"/>
      <c r="BY71" s="1141"/>
      <c r="BZ71" s="1141"/>
      <c r="CA71" s="1141"/>
      <c r="CB71" s="1141"/>
      <c r="CC71" s="1141"/>
      <c r="CD71" s="1141"/>
      <c r="CE71" s="1141"/>
      <c r="CF71" s="1141"/>
      <c r="CG71" s="1141"/>
      <c r="CH71" s="1141"/>
      <c r="CI71" s="1141"/>
      <c r="CJ71" s="1141"/>
      <c r="CK71" s="1141"/>
      <c r="CL71" s="1141"/>
      <c r="CM71" s="1141"/>
      <c r="CN71" s="1141"/>
      <c r="CO71" s="1141"/>
      <c r="CP71" s="1141"/>
    </row>
    <row r="72" spans="1:94">
      <c r="A72" s="1127">
        <v>61</v>
      </c>
      <c r="B72" s="1128"/>
      <c r="C72" s="1083" t="s">
        <v>351</v>
      </c>
      <c r="D72" s="1143">
        <f>ROUND(IF(F72=Lists!$D$5,E72,IF(F72=Lists!$D$6,E72*'Units&amp;Income'!$AV$94,IF(F72=Lists!$D$7,DevCosts!E72*Setup!$D$37,IF(F72=Lists!$D$8,E72*Setup!$D$38,IF(F72=Lists!$D$9,SUM((DevCosts!E72*DevCosts!$D$13),($D$48*E72)),0))))),0)</f>
        <v>0</v>
      </c>
      <c r="E72" s="1145">
        <v>0</v>
      </c>
      <c r="F72" s="1131" t="s">
        <v>273</v>
      </c>
      <c r="G72" s="1132">
        <f>IF(Deal_Overview!$P$28=0,0,D72/Deal_Overview!$P$28)</f>
        <v>0</v>
      </c>
      <c r="H72" s="1133"/>
      <c r="I72" s="1134">
        <f>$D72*0</f>
        <v>0</v>
      </c>
      <c r="J72" s="1135">
        <f t="shared" si="33"/>
        <v>0</v>
      </c>
      <c r="K72" s="1136">
        <f t="shared" si="33"/>
        <v>0</v>
      </c>
      <c r="L72" s="1135">
        <f>SUM(I72:K72)*Setup!$L$3</f>
        <v>0</v>
      </c>
      <c r="M72" s="1135">
        <f>I72*Setup!$L$19</f>
        <v>0</v>
      </c>
      <c r="N72" s="1138">
        <f t="shared" si="34"/>
        <v>0</v>
      </c>
      <c r="O72" s="1139"/>
      <c r="P72" s="1137"/>
      <c r="Q72" s="1135">
        <f t="shared" si="7"/>
        <v>0</v>
      </c>
      <c r="R72" s="1155">
        <f t="shared" si="8"/>
        <v>0</v>
      </c>
      <c r="S72" s="1140">
        <f t="shared" si="35"/>
        <v>0</v>
      </c>
      <c r="T72" s="1141">
        <f>IF(S72&gt;M72,0,(M72-S72)*Setup!$L$22)</f>
        <v>0</v>
      </c>
      <c r="U72" s="1141"/>
      <c r="V72" s="1141"/>
      <c r="W72" s="1141"/>
      <c r="X72" s="1141"/>
      <c r="Y72" s="1141"/>
      <c r="Z72" s="1141"/>
      <c r="AA72" s="1141"/>
      <c r="AB72" s="1141"/>
      <c r="AC72" s="1141"/>
      <c r="AD72" s="1141"/>
      <c r="AE72" s="1141"/>
      <c r="AF72" s="1141"/>
      <c r="AG72" s="1141"/>
      <c r="AH72" s="1141"/>
      <c r="AI72" s="1141"/>
      <c r="AJ72" s="1141"/>
      <c r="AK72" s="1141"/>
      <c r="AL72" s="1141"/>
      <c r="AM72" s="1141"/>
      <c r="AN72" s="1141"/>
      <c r="AO72" s="1141"/>
      <c r="AP72" s="1141"/>
      <c r="AQ72" s="1141"/>
      <c r="AR72" s="1141"/>
      <c r="AS72" s="1141"/>
      <c r="AT72" s="1141"/>
      <c r="AU72" s="1141"/>
      <c r="AV72" s="1141"/>
      <c r="AW72" s="1141"/>
      <c r="AX72" s="1141"/>
      <c r="AY72" s="1141"/>
      <c r="AZ72" s="1141"/>
      <c r="BA72" s="1141"/>
      <c r="BB72" s="1141"/>
      <c r="BC72" s="1141"/>
      <c r="BD72" s="1141"/>
      <c r="BE72" s="1141"/>
      <c r="BF72" s="1141"/>
      <c r="BG72" s="1141"/>
      <c r="BH72" s="1141"/>
      <c r="BI72" s="1141"/>
      <c r="BJ72" s="1141"/>
      <c r="BK72" s="1141"/>
      <c r="BL72" s="1141"/>
      <c r="BM72" s="1141"/>
      <c r="BN72" s="1141"/>
      <c r="BO72" s="1141"/>
      <c r="BP72" s="1141"/>
      <c r="BQ72" s="1141"/>
      <c r="BR72" s="1141"/>
      <c r="BS72" s="1141"/>
      <c r="BT72" s="1141"/>
      <c r="BU72" s="1141"/>
      <c r="BV72" s="1141"/>
      <c r="BW72" s="1141"/>
      <c r="BX72" s="1141"/>
      <c r="BY72" s="1141"/>
      <c r="BZ72" s="1141"/>
      <c r="CA72" s="1141"/>
      <c r="CB72" s="1141"/>
      <c r="CC72" s="1141"/>
      <c r="CD72" s="1141"/>
      <c r="CE72" s="1141"/>
      <c r="CF72" s="1141"/>
      <c r="CG72" s="1141"/>
      <c r="CH72" s="1141"/>
      <c r="CI72" s="1141"/>
      <c r="CJ72" s="1141"/>
      <c r="CK72" s="1141"/>
      <c r="CL72" s="1141"/>
      <c r="CM72" s="1141"/>
      <c r="CN72" s="1141"/>
      <c r="CO72" s="1141"/>
      <c r="CP72" s="1141"/>
    </row>
    <row r="73" spans="1:94">
      <c r="A73" s="1127">
        <v>62</v>
      </c>
      <c r="B73" s="1128"/>
      <c r="C73" s="1083" t="s">
        <v>352</v>
      </c>
      <c r="D73" s="1143">
        <f>ROUND(IF(F73=Lists!$D$5,E73,IF(F73=Lists!$D$6,E73*'Units&amp;Income'!$AV$94,IF(F73=Lists!$D$7,DevCosts!E73*Setup!$D$37,IF(F73=Lists!$D$8,E73*Setup!$D$38,IF(F73=Lists!$D$9,SUM((DevCosts!E73*DevCosts!$D$13),($D$48*E73)),0))))),0)</f>
        <v>0</v>
      </c>
      <c r="E73" s="1145">
        <v>0</v>
      </c>
      <c r="F73" s="1131" t="s">
        <v>273</v>
      </c>
      <c r="G73" s="1132">
        <f>IF(Deal_Overview!$P$28=0,0,D73/Deal_Overview!$P$28)</f>
        <v>0</v>
      </c>
      <c r="H73" s="1133"/>
      <c r="I73" s="1134">
        <f>$D73*0</f>
        <v>0</v>
      </c>
      <c r="J73" s="1135">
        <f t="shared" si="33"/>
        <v>0</v>
      </c>
      <c r="K73" s="1136">
        <f t="shared" si="33"/>
        <v>0</v>
      </c>
      <c r="L73" s="1135">
        <f>SUM(I73:K73)*Setup!$L$3</f>
        <v>0</v>
      </c>
      <c r="M73" s="1135">
        <f>I73*Setup!$L$19</f>
        <v>0</v>
      </c>
      <c r="N73" s="1138">
        <f t="shared" si="34"/>
        <v>0</v>
      </c>
      <c r="O73" s="1139"/>
      <c r="P73" s="1137"/>
      <c r="Q73" s="1135">
        <f t="shared" si="7"/>
        <v>0</v>
      </c>
      <c r="R73" s="1155">
        <f t="shared" si="8"/>
        <v>0</v>
      </c>
      <c r="S73" s="1140">
        <f t="shared" si="35"/>
        <v>0</v>
      </c>
      <c r="T73" s="1141">
        <f>IF(S73&gt;M73,0,(M73-S73)*Setup!$L$22)</f>
        <v>0</v>
      </c>
      <c r="U73" s="1141"/>
      <c r="V73" s="1141"/>
      <c r="W73" s="1141"/>
      <c r="X73" s="1141"/>
      <c r="Y73" s="1141"/>
      <c r="Z73" s="1141"/>
      <c r="AA73" s="1141"/>
      <c r="AB73" s="1141"/>
      <c r="AC73" s="1141"/>
      <c r="AD73" s="1141"/>
      <c r="AE73" s="1141"/>
      <c r="AF73" s="1141"/>
      <c r="AG73" s="1141"/>
      <c r="AH73" s="1141"/>
      <c r="AI73" s="1141"/>
      <c r="AJ73" s="1141"/>
      <c r="AK73" s="1141"/>
      <c r="AL73" s="1141"/>
      <c r="AM73" s="1141"/>
      <c r="AN73" s="1141"/>
      <c r="AO73" s="1141"/>
      <c r="AP73" s="1141"/>
      <c r="AQ73" s="1141"/>
      <c r="AR73" s="1141"/>
      <c r="AS73" s="1141"/>
      <c r="AT73" s="1141"/>
      <c r="AU73" s="1141"/>
      <c r="AV73" s="1141"/>
      <c r="AW73" s="1141"/>
      <c r="AX73" s="1141"/>
      <c r="AY73" s="1141"/>
      <c r="AZ73" s="1141"/>
      <c r="BA73" s="1141"/>
      <c r="BB73" s="1141"/>
      <c r="BC73" s="1141"/>
      <c r="BD73" s="1141"/>
      <c r="BE73" s="1141"/>
      <c r="BF73" s="1141"/>
      <c r="BG73" s="1141"/>
      <c r="BH73" s="1141"/>
      <c r="BI73" s="1141"/>
      <c r="BJ73" s="1141"/>
      <c r="BK73" s="1141"/>
      <c r="BL73" s="1141"/>
      <c r="BM73" s="1141"/>
      <c r="BN73" s="1141"/>
      <c r="BO73" s="1141"/>
      <c r="BP73" s="1141"/>
      <c r="BQ73" s="1141"/>
      <c r="BR73" s="1141"/>
      <c r="BS73" s="1141"/>
      <c r="BT73" s="1141"/>
      <c r="BU73" s="1141"/>
      <c r="BV73" s="1141"/>
      <c r="BW73" s="1141"/>
      <c r="BX73" s="1141"/>
      <c r="BY73" s="1141"/>
      <c r="BZ73" s="1141"/>
      <c r="CA73" s="1141"/>
      <c r="CB73" s="1141"/>
      <c r="CC73" s="1141"/>
      <c r="CD73" s="1141"/>
      <c r="CE73" s="1141"/>
      <c r="CF73" s="1141"/>
      <c r="CG73" s="1141"/>
      <c r="CH73" s="1141"/>
      <c r="CI73" s="1141"/>
      <c r="CJ73" s="1141"/>
      <c r="CK73" s="1141"/>
      <c r="CL73" s="1141"/>
      <c r="CM73" s="1141"/>
      <c r="CN73" s="1141"/>
      <c r="CO73" s="1141"/>
      <c r="CP73" s="1141"/>
    </row>
    <row r="74" spans="1:94">
      <c r="A74" s="1127">
        <v>63</v>
      </c>
      <c r="B74" s="1128"/>
      <c r="C74" s="1083" t="s">
        <v>353</v>
      </c>
      <c r="D74" s="1143">
        <f>ROUND(IF(F74=Lists!$D$5,E74,IF(F74=Lists!$D$6,E74*'Units&amp;Income'!$AV$94,IF(F74=Lists!$D$7,DevCosts!E74*Setup!$D$37,IF(F74=Lists!$D$8,E74*Setup!$D$38,IF(F74=Lists!$D$9,SUM((DevCosts!E74*DevCosts!$D$13),($D$48*E74)),0))))),0)</f>
        <v>0</v>
      </c>
      <c r="E74" s="1145">
        <v>0</v>
      </c>
      <c r="F74" s="1131" t="s">
        <v>273</v>
      </c>
      <c r="G74" s="1132">
        <f>IF(Deal_Overview!$P$28=0,0,D74/Deal_Overview!$P$28)</f>
        <v>0</v>
      </c>
      <c r="H74" s="1133"/>
      <c r="I74" s="1134">
        <f t="shared" ref="I74:I79" si="36">D74*1</f>
        <v>0</v>
      </c>
      <c r="J74" s="1135">
        <f t="shared" si="33"/>
        <v>0</v>
      </c>
      <c r="K74" s="1136">
        <f t="shared" si="33"/>
        <v>0</v>
      </c>
      <c r="L74" s="1135">
        <f>SUM(I74:K74)*Setup!$L$3</f>
        <v>0</v>
      </c>
      <c r="M74" s="1135">
        <f>I74*Setup!$L$19</f>
        <v>0</v>
      </c>
      <c r="N74" s="1138">
        <f t="shared" si="34"/>
        <v>0</v>
      </c>
      <c r="O74" s="1139"/>
      <c r="P74" s="1137"/>
      <c r="Q74" s="1135">
        <f t="shared" si="7"/>
        <v>0</v>
      </c>
      <c r="R74" s="1155">
        <f t="shared" si="8"/>
        <v>0</v>
      </c>
      <c r="S74" s="1140">
        <f t="shared" si="35"/>
        <v>0</v>
      </c>
      <c r="T74" s="1141">
        <f>IF(S74&gt;M74,0,(M74-S74)*Setup!$L$22)</f>
        <v>0</v>
      </c>
      <c r="U74" s="1141"/>
      <c r="V74" s="1141"/>
      <c r="W74" s="1141"/>
      <c r="X74" s="1141"/>
      <c r="Y74" s="1141"/>
      <c r="Z74" s="1141"/>
      <c r="AA74" s="1141"/>
      <c r="AB74" s="1141"/>
      <c r="AC74" s="1141"/>
      <c r="AD74" s="1141"/>
      <c r="AE74" s="1141"/>
      <c r="AF74" s="1141"/>
      <c r="AG74" s="1141"/>
      <c r="AH74" s="1141"/>
      <c r="AI74" s="1141"/>
      <c r="AJ74" s="1141"/>
      <c r="AK74" s="1141"/>
      <c r="AL74" s="1141"/>
      <c r="AM74" s="1141"/>
      <c r="AN74" s="1141"/>
      <c r="AO74" s="1141"/>
      <c r="AP74" s="1141"/>
      <c r="AQ74" s="1141"/>
      <c r="AR74" s="1141"/>
      <c r="AS74" s="1141"/>
      <c r="AT74" s="1141"/>
      <c r="AU74" s="1141"/>
      <c r="AV74" s="1141"/>
      <c r="AW74" s="1141"/>
      <c r="AX74" s="1141"/>
      <c r="AY74" s="1141"/>
      <c r="AZ74" s="1141"/>
      <c r="BA74" s="1141"/>
      <c r="BB74" s="1141"/>
      <c r="BC74" s="1141"/>
      <c r="BD74" s="1141"/>
      <c r="BE74" s="1141"/>
      <c r="BF74" s="1141"/>
      <c r="BG74" s="1141"/>
      <c r="BH74" s="1141"/>
      <c r="BI74" s="1141"/>
      <c r="BJ74" s="1141"/>
      <c r="BK74" s="1141"/>
      <c r="BL74" s="1141"/>
      <c r="BM74" s="1141"/>
      <c r="BN74" s="1141"/>
      <c r="BO74" s="1141"/>
      <c r="BP74" s="1141"/>
      <c r="BQ74" s="1141"/>
      <c r="BR74" s="1141"/>
      <c r="BS74" s="1141"/>
      <c r="BT74" s="1141"/>
      <c r="BU74" s="1141"/>
      <c r="BV74" s="1141"/>
      <c r="BW74" s="1141"/>
      <c r="BX74" s="1141"/>
      <c r="BY74" s="1141"/>
      <c r="BZ74" s="1141"/>
      <c r="CA74" s="1141"/>
      <c r="CB74" s="1141"/>
      <c r="CC74" s="1141"/>
      <c r="CD74" s="1141"/>
      <c r="CE74" s="1141"/>
      <c r="CF74" s="1141"/>
      <c r="CG74" s="1141"/>
      <c r="CH74" s="1141"/>
      <c r="CI74" s="1141"/>
      <c r="CJ74" s="1141"/>
      <c r="CK74" s="1141"/>
      <c r="CL74" s="1141"/>
      <c r="CM74" s="1141"/>
      <c r="CN74" s="1141"/>
      <c r="CO74" s="1141"/>
      <c r="CP74" s="1141"/>
    </row>
    <row r="75" spans="1:94">
      <c r="A75" s="1127">
        <v>64</v>
      </c>
      <c r="B75" s="1128"/>
      <c r="C75" s="1083" t="s">
        <v>354</v>
      </c>
      <c r="D75" s="1143">
        <f>ROUND(IF(F75=Lists!$D$5,E75,IF(F75=Lists!$D$6,E75*'Units&amp;Income'!$AV$94,IF(F75=Lists!$D$7,DevCosts!E75*Setup!$D$37,IF(F75=Lists!$D$8,E75*Setup!$D$38,IF(F75=Lists!$D$9,SUM((DevCosts!E75*DevCosts!$D$13),($D$48*E75)),0))))),0)</f>
        <v>0</v>
      </c>
      <c r="E75" s="1145">
        <v>0</v>
      </c>
      <c r="F75" s="1131" t="s">
        <v>273</v>
      </c>
      <c r="G75" s="1132">
        <f>IF(Deal_Overview!$P$28=0,0,D75/Deal_Overview!$P$28)</f>
        <v>0</v>
      </c>
      <c r="H75" s="1133"/>
      <c r="I75" s="1134">
        <f t="shared" si="36"/>
        <v>0</v>
      </c>
      <c r="J75" s="1135">
        <f t="shared" si="33"/>
        <v>0</v>
      </c>
      <c r="K75" s="1136">
        <f t="shared" si="33"/>
        <v>0</v>
      </c>
      <c r="L75" s="1135">
        <f>SUM(I75:K75)*Setup!$L$3</f>
        <v>0</v>
      </c>
      <c r="M75" s="1135">
        <f>I75*Setup!$L$19</f>
        <v>0</v>
      </c>
      <c r="N75" s="1138">
        <f t="shared" si="34"/>
        <v>0</v>
      </c>
      <c r="O75" s="1139"/>
      <c r="P75" s="1137"/>
      <c r="Q75" s="1135">
        <f t="shared" si="7"/>
        <v>0</v>
      </c>
      <c r="R75" s="1155">
        <f t="shared" si="8"/>
        <v>0</v>
      </c>
      <c r="S75" s="1140">
        <f t="shared" si="35"/>
        <v>0</v>
      </c>
      <c r="T75" s="1141">
        <f>IF(S75&gt;M75,0,(M75-S75)*Setup!$L$22)</f>
        <v>0</v>
      </c>
      <c r="U75" s="1141"/>
      <c r="V75" s="1141"/>
      <c r="W75" s="1141"/>
      <c r="X75" s="1141"/>
      <c r="Y75" s="1141"/>
      <c r="Z75" s="1141"/>
      <c r="AA75" s="1141"/>
      <c r="AB75" s="1141"/>
      <c r="AC75" s="1141"/>
      <c r="AD75" s="1141"/>
      <c r="AE75" s="1141"/>
      <c r="AF75" s="1141"/>
      <c r="AG75" s="1141"/>
      <c r="AH75" s="1141"/>
      <c r="AI75" s="1141"/>
      <c r="AJ75" s="1141"/>
      <c r="AK75" s="1141"/>
      <c r="AL75" s="1141"/>
      <c r="AM75" s="1141"/>
      <c r="AN75" s="1141"/>
      <c r="AO75" s="1141"/>
      <c r="AP75" s="1141"/>
      <c r="AQ75" s="1141"/>
      <c r="AR75" s="1141"/>
      <c r="AS75" s="1141"/>
      <c r="AT75" s="1141"/>
      <c r="AU75" s="1141"/>
      <c r="AV75" s="1141"/>
      <c r="AW75" s="1141"/>
      <c r="AX75" s="1141"/>
      <c r="AY75" s="1141"/>
      <c r="AZ75" s="1141"/>
      <c r="BA75" s="1141"/>
      <c r="BB75" s="1141"/>
      <c r="BC75" s="1141"/>
      <c r="BD75" s="1141"/>
      <c r="BE75" s="1141"/>
      <c r="BF75" s="1141"/>
      <c r="BG75" s="1141"/>
      <c r="BH75" s="1141"/>
      <c r="BI75" s="1141"/>
      <c r="BJ75" s="1141"/>
      <c r="BK75" s="1141"/>
      <c r="BL75" s="1141"/>
      <c r="BM75" s="1141"/>
      <c r="BN75" s="1141"/>
      <c r="BO75" s="1141"/>
      <c r="BP75" s="1141"/>
      <c r="BQ75" s="1141"/>
      <c r="BR75" s="1141"/>
      <c r="BS75" s="1141"/>
      <c r="BT75" s="1141"/>
      <c r="BU75" s="1141"/>
      <c r="BV75" s="1141"/>
      <c r="BW75" s="1141"/>
      <c r="BX75" s="1141"/>
      <c r="BY75" s="1141"/>
      <c r="BZ75" s="1141"/>
      <c r="CA75" s="1141"/>
      <c r="CB75" s="1141"/>
      <c r="CC75" s="1141"/>
      <c r="CD75" s="1141"/>
      <c r="CE75" s="1141"/>
      <c r="CF75" s="1141"/>
      <c r="CG75" s="1141"/>
      <c r="CH75" s="1141"/>
      <c r="CI75" s="1141"/>
      <c r="CJ75" s="1141"/>
      <c r="CK75" s="1141"/>
      <c r="CL75" s="1141"/>
      <c r="CM75" s="1141"/>
      <c r="CN75" s="1141"/>
      <c r="CO75" s="1141"/>
      <c r="CP75" s="1141"/>
    </row>
    <row r="76" spans="1:94">
      <c r="A76" s="1127">
        <v>65</v>
      </c>
      <c r="B76" s="1128"/>
      <c r="C76" s="1083" t="s">
        <v>355</v>
      </c>
      <c r="D76" s="1143">
        <f>ROUND(IF(F76=Lists!$D$5,E76,IF(F76=Lists!$D$6,E76*'Units&amp;Income'!$AV$94,IF(F76=Lists!$D$7,DevCosts!E76*Setup!$D$37,IF(F76=Lists!$D$8,E76*Setup!$D$38,IF(F76=Lists!$D$9,SUM((DevCosts!E76*DevCosts!$D$13),($D$48*E76)),0))))),0)</f>
        <v>0</v>
      </c>
      <c r="E76" s="1145">
        <v>0</v>
      </c>
      <c r="F76" s="1131" t="s">
        <v>273</v>
      </c>
      <c r="G76" s="1132">
        <f>IF(Deal_Overview!$P$28=0,0,D76/Deal_Overview!$P$28)</f>
        <v>0</v>
      </c>
      <c r="H76" s="1133"/>
      <c r="I76" s="1134">
        <f t="shared" si="36"/>
        <v>0</v>
      </c>
      <c r="J76" s="1135">
        <f t="shared" si="33"/>
        <v>0</v>
      </c>
      <c r="K76" s="1136">
        <f t="shared" si="33"/>
        <v>0</v>
      </c>
      <c r="L76" s="1135">
        <f>SUM(I76:K76)*Setup!$L$3</f>
        <v>0</v>
      </c>
      <c r="M76" s="1135">
        <f>I76*Setup!$L$19</f>
        <v>0</v>
      </c>
      <c r="N76" s="1138">
        <f t="shared" si="34"/>
        <v>0</v>
      </c>
      <c r="O76" s="1139"/>
      <c r="P76" s="1137"/>
      <c r="Q76" s="1135">
        <f t="shared" si="7"/>
        <v>0</v>
      </c>
      <c r="R76" s="1155">
        <f t="shared" si="8"/>
        <v>0</v>
      </c>
      <c r="S76" s="1140">
        <f t="shared" si="35"/>
        <v>0</v>
      </c>
      <c r="T76" s="1141">
        <f>IF(S76&gt;M76,0,(M76-S76)*Setup!$L$22)</f>
        <v>0</v>
      </c>
      <c r="U76" s="1141"/>
      <c r="V76" s="1141"/>
      <c r="W76" s="1141"/>
      <c r="X76" s="1141"/>
      <c r="Y76" s="1141"/>
      <c r="Z76" s="1141"/>
      <c r="AA76" s="1141"/>
      <c r="AB76" s="1141"/>
      <c r="AC76" s="1141"/>
      <c r="AD76" s="1141"/>
      <c r="AE76" s="1141"/>
      <c r="AF76" s="1141"/>
      <c r="AG76" s="1141"/>
      <c r="AH76" s="1141"/>
      <c r="AI76" s="1141"/>
      <c r="AJ76" s="1141"/>
      <c r="AK76" s="1141"/>
      <c r="AL76" s="1141"/>
      <c r="AM76" s="1141"/>
      <c r="AN76" s="1141"/>
      <c r="AO76" s="1141"/>
      <c r="AP76" s="1141"/>
      <c r="AQ76" s="1141"/>
      <c r="AR76" s="1141"/>
      <c r="AS76" s="1141"/>
      <c r="AT76" s="1141"/>
      <c r="AU76" s="1141"/>
      <c r="AV76" s="1141"/>
      <c r="AW76" s="1141"/>
      <c r="AX76" s="1141"/>
      <c r="AY76" s="1141"/>
      <c r="AZ76" s="1141"/>
      <c r="BA76" s="1141"/>
      <c r="BB76" s="1141"/>
      <c r="BC76" s="1141"/>
      <c r="BD76" s="1141"/>
      <c r="BE76" s="1141"/>
      <c r="BF76" s="1141"/>
      <c r="BG76" s="1141"/>
      <c r="BH76" s="1141"/>
      <c r="BI76" s="1141"/>
      <c r="BJ76" s="1141"/>
      <c r="BK76" s="1141"/>
      <c r="BL76" s="1141"/>
      <c r="BM76" s="1141"/>
      <c r="BN76" s="1141"/>
      <c r="BO76" s="1141"/>
      <c r="BP76" s="1141"/>
      <c r="BQ76" s="1141"/>
      <c r="BR76" s="1141"/>
      <c r="BS76" s="1141"/>
      <c r="BT76" s="1141"/>
      <c r="BU76" s="1141"/>
      <c r="BV76" s="1141"/>
      <c r="BW76" s="1141"/>
      <c r="BX76" s="1141"/>
      <c r="BY76" s="1141"/>
      <c r="BZ76" s="1141"/>
      <c r="CA76" s="1141"/>
      <c r="CB76" s="1141"/>
      <c r="CC76" s="1141"/>
      <c r="CD76" s="1141"/>
      <c r="CE76" s="1141"/>
      <c r="CF76" s="1141"/>
      <c r="CG76" s="1141"/>
      <c r="CH76" s="1141"/>
      <c r="CI76" s="1141"/>
      <c r="CJ76" s="1141"/>
      <c r="CK76" s="1141"/>
      <c r="CL76" s="1141"/>
      <c r="CM76" s="1141"/>
      <c r="CN76" s="1141"/>
      <c r="CO76" s="1141"/>
      <c r="CP76" s="1141"/>
    </row>
    <row r="77" spans="1:94">
      <c r="A77" s="1127">
        <v>66</v>
      </c>
      <c r="B77" s="1128"/>
      <c r="C77" s="1083" t="s">
        <v>356</v>
      </c>
      <c r="D77" s="1143">
        <f>ROUND(IF(F77=Lists!$D$5,E77,IF(F77=Lists!$D$6,E77*'Units&amp;Income'!$AV$94,IF(F77=Lists!$D$7,DevCosts!E77*Setup!$D$37,IF(F77=Lists!$D$8,E77*Setup!$D$38,IF(F77=Lists!$D$9,SUM((DevCosts!E77*DevCosts!$D$13),($D$48*E77)),0))))),0)</f>
        <v>0</v>
      </c>
      <c r="E77" s="1145">
        <v>0</v>
      </c>
      <c r="F77" s="1131" t="s">
        <v>273</v>
      </c>
      <c r="G77" s="1132">
        <f>IF(Deal_Overview!$P$28=0,0,D77/Deal_Overview!$P$28)</f>
        <v>0</v>
      </c>
      <c r="H77" s="1133"/>
      <c r="I77" s="1134">
        <f t="shared" si="36"/>
        <v>0</v>
      </c>
      <c r="J77" s="1135">
        <f t="shared" si="33"/>
        <v>0</v>
      </c>
      <c r="K77" s="1136">
        <f t="shared" si="33"/>
        <v>0</v>
      </c>
      <c r="L77" s="1135">
        <f>SUM(I77:K77)*Setup!$L$3</f>
        <v>0</v>
      </c>
      <c r="M77" s="1135">
        <f>I77*Setup!$L$19</f>
        <v>0</v>
      </c>
      <c r="N77" s="1138">
        <f t="shared" si="34"/>
        <v>0</v>
      </c>
      <c r="O77" s="1139"/>
      <c r="P77" s="1137"/>
      <c r="Q77" s="1135">
        <f t="shared" si="7"/>
        <v>0</v>
      </c>
      <c r="R77" s="1155">
        <f t="shared" si="8"/>
        <v>0</v>
      </c>
      <c r="S77" s="1140">
        <f t="shared" si="35"/>
        <v>0</v>
      </c>
      <c r="T77" s="1141">
        <f>IF(S77&gt;M77,0,(M77-S77)*Setup!$L$22)</f>
        <v>0</v>
      </c>
      <c r="U77" s="1141"/>
      <c r="V77" s="1141"/>
      <c r="W77" s="1141"/>
      <c r="X77" s="1141"/>
      <c r="Y77" s="1141"/>
      <c r="Z77" s="1141"/>
      <c r="AA77" s="1141"/>
      <c r="AB77" s="1141"/>
      <c r="AC77" s="1141"/>
      <c r="AD77" s="1141"/>
      <c r="AE77" s="1141"/>
      <c r="AF77" s="1141"/>
      <c r="AG77" s="1141"/>
      <c r="AH77" s="1141"/>
      <c r="AI77" s="1141"/>
      <c r="AJ77" s="1141"/>
      <c r="AK77" s="1141"/>
      <c r="AL77" s="1141"/>
      <c r="AM77" s="1141"/>
      <c r="AN77" s="1141"/>
      <c r="AO77" s="1141"/>
      <c r="AP77" s="1141"/>
      <c r="AQ77" s="1141"/>
      <c r="AR77" s="1141"/>
      <c r="AS77" s="1141"/>
      <c r="AT77" s="1141"/>
      <c r="AU77" s="1141"/>
      <c r="AV77" s="1141"/>
      <c r="AW77" s="1141"/>
      <c r="AX77" s="1141"/>
      <c r="AY77" s="1141"/>
      <c r="AZ77" s="1141"/>
      <c r="BA77" s="1141"/>
      <c r="BB77" s="1141"/>
      <c r="BC77" s="1141"/>
      <c r="BD77" s="1141"/>
      <c r="BE77" s="1141"/>
      <c r="BF77" s="1141"/>
      <c r="BG77" s="1141"/>
      <c r="BH77" s="1141"/>
      <c r="BI77" s="1141"/>
      <c r="BJ77" s="1141"/>
      <c r="BK77" s="1141"/>
      <c r="BL77" s="1141"/>
      <c r="BM77" s="1141"/>
      <c r="BN77" s="1141"/>
      <c r="BO77" s="1141"/>
      <c r="BP77" s="1141"/>
      <c r="BQ77" s="1141"/>
      <c r="BR77" s="1141"/>
      <c r="BS77" s="1141"/>
      <c r="BT77" s="1141"/>
      <c r="BU77" s="1141"/>
      <c r="BV77" s="1141"/>
      <c r="BW77" s="1141"/>
      <c r="BX77" s="1141"/>
      <c r="BY77" s="1141"/>
      <c r="BZ77" s="1141"/>
      <c r="CA77" s="1141"/>
      <c r="CB77" s="1141"/>
      <c r="CC77" s="1141"/>
      <c r="CD77" s="1141"/>
      <c r="CE77" s="1141"/>
      <c r="CF77" s="1141"/>
      <c r="CG77" s="1141"/>
      <c r="CH77" s="1141"/>
      <c r="CI77" s="1141"/>
      <c r="CJ77" s="1141"/>
      <c r="CK77" s="1141"/>
      <c r="CL77" s="1141"/>
      <c r="CM77" s="1141"/>
      <c r="CN77" s="1141"/>
      <c r="CO77" s="1141"/>
      <c r="CP77" s="1141"/>
    </row>
    <row r="78" spans="1:94">
      <c r="A78" s="1127">
        <v>67</v>
      </c>
      <c r="B78" s="1128"/>
      <c r="C78" s="1083" t="s">
        <v>357</v>
      </c>
      <c r="D78" s="1143">
        <f>ROUND(IF(F78=Lists!$D$5,E78,IF(F78=Lists!$D$6,E78*'Units&amp;Income'!$AV$94,IF(F78=Lists!$D$7,DevCosts!E78*Setup!$D$37,IF(F78=Lists!$D$8,E78*Setup!$D$38,IF(F78=Lists!$D$9,SUM((DevCosts!E78*DevCosts!$D$13),($D$48*E78)),0))))),0)</f>
        <v>0</v>
      </c>
      <c r="E78" s="1145">
        <v>0</v>
      </c>
      <c r="F78" s="1131" t="s">
        <v>273</v>
      </c>
      <c r="G78" s="1132">
        <f>IF(Deal_Overview!$P$28=0,0,D78/Deal_Overview!$P$28)</f>
        <v>0</v>
      </c>
      <c r="H78" s="1133"/>
      <c r="I78" s="1134">
        <f t="shared" si="36"/>
        <v>0</v>
      </c>
      <c r="J78" s="1135">
        <f t="shared" si="33"/>
        <v>0</v>
      </c>
      <c r="K78" s="1136">
        <f t="shared" si="33"/>
        <v>0</v>
      </c>
      <c r="L78" s="1135">
        <f>SUM(I78:K78)*Setup!$L$3</f>
        <v>0</v>
      </c>
      <c r="M78" s="1135">
        <f>I78*Setup!$L$19</f>
        <v>0</v>
      </c>
      <c r="N78" s="1138">
        <f t="shared" si="34"/>
        <v>0</v>
      </c>
      <c r="O78" s="1139"/>
      <c r="P78" s="1137"/>
      <c r="Q78" s="1135">
        <f t="shared" si="7"/>
        <v>0</v>
      </c>
      <c r="R78" s="1155">
        <f>I78</f>
        <v>0</v>
      </c>
      <c r="S78" s="1140">
        <f t="shared" si="35"/>
        <v>0</v>
      </c>
      <c r="T78" s="1141">
        <f>IF(S78&gt;M78,0,(M78-S78)*Setup!$L$22)</f>
        <v>0</v>
      </c>
      <c r="U78" s="1141"/>
      <c r="V78" s="1141"/>
      <c r="W78" s="1141"/>
      <c r="X78" s="1141"/>
      <c r="Y78" s="1141"/>
      <c r="Z78" s="1141"/>
      <c r="AA78" s="1141"/>
      <c r="AB78" s="1141"/>
      <c r="AC78" s="1141"/>
      <c r="AD78" s="1141"/>
      <c r="AE78" s="1141"/>
      <c r="AF78" s="1141"/>
      <c r="AG78" s="1141"/>
      <c r="AH78" s="1141"/>
      <c r="AI78" s="1141"/>
      <c r="AJ78" s="1141"/>
      <c r="AK78" s="1141"/>
      <c r="AL78" s="1141"/>
      <c r="AM78" s="1141"/>
      <c r="AN78" s="1141"/>
      <c r="AO78" s="1141"/>
      <c r="AP78" s="1141"/>
      <c r="AQ78" s="1141"/>
      <c r="AR78" s="1141"/>
      <c r="AS78" s="1141"/>
      <c r="AT78" s="1141"/>
      <c r="AU78" s="1141"/>
      <c r="AV78" s="1141"/>
      <c r="AW78" s="1141"/>
      <c r="AX78" s="1141"/>
      <c r="AY78" s="1141"/>
      <c r="AZ78" s="1141"/>
      <c r="BA78" s="1141"/>
      <c r="BB78" s="1141"/>
      <c r="BC78" s="1141"/>
      <c r="BD78" s="1141"/>
      <c r="BE78" s="1141"/>
      <c r="BF78" s="1141"/>
      <c r="BG78" s="1141"/>
      <c r="BH78" s="1141"/>
      <c r="BI78" s="1141"/>
      <c r="BJ78" s="1141"/>
      <c r="BK78" s="1141"/>
      <c r="BL78" s="1141"/>
      <c r="BM78" s="1141"/>
      <c r="BN78" s="1141"/>
      <c r="BO78" s="1141"/>
      <c r="BP78" s="1141"/>
      <c r="BQ78" s="1141"/>
      <c r="BR78" s="1141"/>
      <c r="BS78" s="1141"/>
      <c r="BT78" s="1141"/>
      <c r="BU78" s="1141"/>
      <c r="BV78" s="1141"/>
      <c r="BW78" s="1141"/>
      <c r="BX78" s="1141"/>
      <c r="BY78" s="1141"/>
      <c r="BZ78" s="1141"/>
      <c r="CA78" s="1141"/>
      <c r="CB78" s="1141"/>
      <c r="CC78" s="1141"/>
      <c r="CD78" s="1141"/>
      <c r="CE78" s="1141"/>
      <c r="CF78" s="1141"/>
      <c r="CG78" s="1141"/>
      <c r="CH78" s="1141"/>
      <c r="CI78" s="1141"/>
      <c r="CJ78" s="1141"/>
      <c r="CK78" s="1141"/>
      <c r="CL78" s="1141"/>
      <c r="CM78" s="1141"/>
      <c r="CN78" s="1141"/>
      <c r="CO78" s="1141"/>
      <c r="CP78" s="1141"/>
    </row>
    <row r="79" spans="1:94">
      <c r="A79" s="1127">
        <v>68</v>
      </c>
      <c r="B79" s="1128"/>
      <c r="C79" s="1083" t="s">
        <v>358</v>
      </c>
      <c r="D79" s="1143">
        <f>ROUND(IF(F79=Lists!$D$5,E79,IF(F79=Lists!$D$6,E79*'Units&amp;Income'!$AV$94,IF(F79=Lists!$D$7,DevCosts!E79*Setup!$D$37,IF(F79=Lists!$D$8,E79*Setup!$D$38,IF(F79=Lists!$D$9,SUM((DevCosts!E79*DevCosts!$D$13),($D$48*E79)),0))))),0)</f>
        <v>0</v>
      </c>
      <c r="E79" s="1145">
        <v>0</v>
      </c>
      <c r="F79" s="1131" t="s">
        <v>273</v>
      </c>
      <c r="G79" s="1132">
        <f>IF(Deal_Overview!$P$28=0,0,D79/Deal_Overview!$P$28)</f>
        <v>0</v>
      </c>
      <c r="H79" s="1133"/>
      <c r="I79" s="1134">
        <f t="shared" si="36"/>
        <v>0</v>
      </c>
      <c r="J79" s="1135">
        <f t="shared" si="33"/>
        <v>0</v>
      </c>
      <c r="K79" s="1136">
        <f t="shared" si="33"/>
        <v>0</v>
      </c>
      <c r="L79" s="1135">
        <f>SUM(I79:K79)*Setup!$L$3</f>
        <v>0</v>
      </c>
      <c r="M79" s="1135">
        <f>I79*Setup!$L$19</f>
        <v>0</v>
      </c>
      <c r="N79" s="1138">
        <f t="shared" si="34"/>
        <v>0</v>
      </c>
      <c r="O79" s="1139"/>
      <c r="P79" s="1137"/>
      <c r="Q79" s="1135">
        <f t="shared" si="7"/>
        <v>0</v>
      </c>
      <c r="R79" s="1155">
        <f>I79</f>
        <v>0</v>
      </c>
      <c r="S79" s="1140">
        <f t="shared" si="35"/>
        <v>0</v>
      </c>
      <c r="T79" s="1141">
        <f>IF(S79&gt;M79,0,(M79-S79)*Setup!$L$22)</f>
        <v>0</v>
      </c>
      <c r="U79" s="1141"/>
      <c r="V79" s="1141"/>
      <c r="W79" s="1141"/>
      <c r="X79" s="1141"/>
      <c r="Y79" s="1141"/>
      <c r="Z79" s="1141"/>
      <c r="AA79" s="1141"/>
      <c r="AB79" s="1141"/>
      <c r="AC79" s="1141"/>
      <c r="AD79" s="1141"/>
      <c r="AE79" s="1141"/>
      <c r="AF79" s="1141"/>
      <c r="AG79" s="1141"/>
      <c r="AH79" s="1141"/>
      <c r="AI79" s="1141"/>
      <c r="AJ79" s="1141"/>
      <c r="AK79" s="1141"/>
      <c r="AL79" s="1141"/>
      <c r="AM79" s="1141"/>
      <c r="AN79" s="1141"/>
      <c r="AO79" s="1141"/>
      <c r="AP79" s="1141"/>
      <c r="AQ79" s="1141"/>
      <c r="AR79" s="1141"/>
      <c r="AS79" s="1141"/>
      <c r="AT79" s="1141"/>
      <c r="AU79" s="1141"/>
      <c r="AV79" s="1141"/>
      <c r="AW79" s="1141"/>
      <c r="AX79" s="1141"/>
      <c r="AY79" s="1141"/>
      <c r="AZ79" s="1141"/>
      <c r="BA79" s="1141"/>
      <c r="BB79" s="1141"/>
      <c r="BC79" s="1141"/>
      <c r="BD79" s="1141"/>
      <c r="BE79" s="1141"/>
      <c r="BF79" s="1141"/>
      <c r="BG79" s="1141"/>
      <c r="BH79" s="1141"/>
      <c r="BI79" s="1141"/>
      <c r="BJ79" s="1141"/>
      <c r="BK79" s="1141"/>
      <c r="BL79" s="1141"/>
      <c r="BM79" s="1141"/>
      <c r="BN79" s="1141"/>
      <c r="BO79" s="1141"/>
      <c r="BP79" s="1141"/>
      <c r="BQ79" s="1141"/>
      <c r="BR79" s="1141"/>
      <c r="BS79" s="1141"/>
      <c r="BT79" s="1141"/>
      <c r="BU79" s="1141"/>
      <c r="BV79" s="1141"/>
      <c r="BW79" s="1141"/>
      <c r="BX79" s="1141"/>
      <c r="BY79" s="1141"/>
      <c r="BZ79" s="1141"/>
      <c r="CA79" s="1141"/>
      <c r="CB79" s="1141"/>
      <c r="CC79" s="1141"/>
      <c r="CD79" s="1141"/>
      <c r="CE79" s="1141"/>
      <c r="CF79" s="1141"/>
      <c r="CG79" s="1141"/>
      <c r="CH79" s="1141"/>
      <c r="CI79" s="1141"/>
      <c r="CJ79" s="1141"/>
      <c r="CK79" s="1141"/>
      <c r="CL79" s="1141"/>
      <c r="CM79" s="1141"/>
      <c r="CN79" s="1141"/>
      <c r="CO79" s="1141"/>
      <c r="CP79" s="1141"/>
    </row>
    <row r="80" spans="1:94" s="56" customFormat="1">
      <c r="A80" s="1146"/>
      <c r="B80" s="1919" t="s">
        <v>359</v>
      </c>
      <c r="C80" s="1919"/>
      <c r="D80" s="1147">
        <f>SUM(D59:D79)</f>
        <v>0</v>
      </c>
      <c r="E80" s="1148"/>
      <c r="F80" s="1149"/>
      <c r="G80" s="1147">
        <f>IF(Deal_Overview!$P$28=0,0,D80/Deal_Overview!$P$28)</f>
        <v>0</v>
      </c>
      <c r="H80" s="1150"/>
      <c r="I80" s="1151">
        <f>SUM(I59:I79)</f>
        <v>0</v>
      </c>
      <c r="J80" s="1151">
        <f t="shared" ref="J80:P80" si="37">SUM(J59:J79)</f>
        <v>0</v>
      </c>
      <c r="K80" s="1151">
        <f t="shared" si="37"/>
        <v>0</v>
      </c>
      <c r="L80" s="1151">
        <f t="shared" si="37"/>
        <v>0</v>
      </c>
      <c r="M80" s="1151">
        <f t="shared" si="37"/>
        <v>0</v>
      </c>
      <c r="N80" s="1151">
        <f t="shared" si="37"/>
        <v>0</v>
      </c>
      <c r="O80" s="1151">
        <f t="shared" si="37"/>
        <v>0</v>
      </c>
      <c r="P80" s="1151">
        <f t="shared" si="37"/>
        <v>0</v>
      </c>
      <c r="Q80" s="1151">
        <f>SUM(Q59:Q79)</f>
        <v>0</v>
      </c>
      <c r="R80" s="1149">
        <f>SUM(R59:R79)</f>
        <v>0</v>
      </c>
      <c r="S80" s="1154"/>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row>
    <row r="81" spans="1:20">
      <c r="A81" s="1127">
        <v>69</v>
      </c>
      <c r="B81" s="1128"/>
      <c r="C81" s="1083" t="s">
        <v>360</v>
      </c>
      <c r="D81" s="1143">
        <f>ROUND(IF(F81=Lists!$D$5,E81,IF(F81=Lists!$D$6,E81*'Units&amp;Income'!$AV$94,IF(F81=Lists!$D$7,DevCosts!E81*Setup!$D$37,IF(F81=Lists!$D$8,E81*Setup!$D$38,IF(F81=Lists!$D$9,SUM((DevCosts!E81*DevCosts!$D$13),($D$48*E81)),0))))),0)</f>
        <v>0</v>
      </c>
      <c r="E81" s="1145">
        <v>0</v>
      </c>
      <c r="F81" s="1131" t="s">
        <v>273</v>
      </c>
      <c r="G81" s="1132">
        <f>IF(Deal_Overview!$P$28=0,0,D81/Deal_Overview!$P$28)</f>
        <v>0</v>
      </c>
      <c r="H81" s="1133"/>
      <c r="I81" s="1134">
        <f>$D81*0</f>
        <v>0</v>
      </c>
      <c r="J81" s="1135">
        <f>$D81*0</f>
        <v>0</v>
      </c>
      <c r="K81" s="1136">
        <f>$D81*0</f>
        <v>0</v>
      </c>
      <c r="L81" s="1135">
        <f>SUM(I81:K81)*Setup!$L$3</f>
        <v>0</v>
      </c>
      <c r="M81" s="1135">
        <f>I81*Setup!$L$19</f>
        <v>0</v>
      </c>
      <c r="N81" s="1138">
        <f t="shared" ref="N81:N96" si="38">D81-SUM(I81:K81)</f>
        <v>0</v>
      </c>
      <c r="O81" s="1139"/>
      <c r="P81" s="1137"/>
      <c r="Q81" s="1135">
        <f t="shared" ref="Q81:Q131" si="39">SUM(I81:K81)-L81-P81</f>
        <v>0</v>
      </c>
      <c r="R81" s="1155">
        <f t="shared" ref="R81:R130" si="40">I81</f>
        <v>0</v>
      </c>
      <c r="S81" s="1140">
        <f>IF(SUM(I81:K81)&gt;0,(L81/SUM(I81:K81))*I81,0)</f>
        <v>0</v>
      </c>
      <c r="T81" s="1141">
        <f>IF(S81&gt;M81,0,(M81-S81)*Setup!$L$22)</f>
        <v>0</v>
      </c>
    </row>
    <row r="82" spans="1:20">
      <c r="A82" s="1127">
        <v>70</v>
      </c>
      <c r="B82" s="1128"/>
      <c r="C82" s="1083" t="s">
        <v>361</v>
      </c>
      <c r="D82" s="1143">
        <f>ROUND(IF(F82=Lists!$D$5,E82,IF(F82=Lists!$D$6,E82*'Units&amp;Income'!$AV$94,IF(F82=Lists!$D$7,DevCosts!E82*Setup!$D$37,IF(F82=Lists!$D$8,E82*Setup!$D$38,IF(F82=Lists!$D$9,SUM((DevCosts!E82*DevCosts!$D$13),($D$48*E82)),0))))),0)</f>
        <v>0</v>
      </c>
      <c r="E82" s="1145">
        <v>0</v>
      </c>
      <c r="F82" s="1131" t="s">
        <v>273</v>
      </c>
      <c r="G82" s="1132">
        <f>IF(Deal_Overview!$P$28=0,0,D82/Deal_Overview!$P$28)</f>
        <v>0</v>
      </c>
      <c r="H82" s="1133"/>
      <c r="I82" s="1134">
        <f>$D82*0.1</f>
        <v>0</v>
      </c>
      <c r="J82" s="1135">
        <f t="shared" ref="J82:K96" si="41">$D82*0</f>
        <v>0</v>
      </c>
      <c r="K82" s="1136">
        <f t="shared" si="41"/>
        <v>0</v>
      </c>
      <c r="L82" s="1135">
        <f>SUM(I82:K82)*Setup!$L$3</f>
        <v>0</v>
      </c>
      <c r="M82" s="1135">
        <f>I82*Setup!$L$19</f>
        <v>0</v>
      </c>
      <c r="N82" s="1138">
        <f t="shared" si="38"/>
        <v>0</v>
      </c>
      <c r="O82" s="1139"/>
      <c r="P82" s="1137"/>
      <c r="Q82" s="1135">
        <f t="shared" si="39"/>
        <v>0</v>
      </c>
      <c r="R82" s="1155">
        <f t="shared" si="40"/>
        <v>0</v>
      </c>
      <c r="S82" s="1140">
        <f t="shared" ref="S82:S96" si="42">IF(SUM(I82:K82)&gt;0,(L82/SUM(I82:K82))*I82,0)</f>
        <v>0</v>
      </c>
      <c r="T82" s="1141">
        <f>IF(S82&gt;M82,0,(M82-S82)*Setup!$L$22)</f>
        <v>0</v>
      </c>
    </row>
    <row r="83" spans="1:20">
      <c r="A83" s="1127">
        <v>71</v>
      </c>
      <c r="B83" s="1128"/>
      <c r="C83" s="1083" t="s">
        <v>362</v>
      </c>
      <c r="D83" s="1143">
        <f>ROUND(IF(F83=Lists!$D$5,E83,IF(F83=Lists!$D$6,E83*'Units&amp;Income'!$AV$94,IF(F83=Lists!$D$7,DevCosts!E83*Setup!$D$37,IF(F83=Lists!$D$8,E83*Setup!$D$38,IF(F83=Lists!$D$9,SUM((DevCosts!E83*DevCosts!$D$13),($D$48*E83)),0))))),0)</f>
        <v>0</v>
      </c>
      <c r="E83" s="1145">
        <v>0</v>
      </c>
      <c r="F83" s="1131" t="s">
        <v>273</v>
      </c>
      <c r="G83" s="1132">
        <f>IF(Deal_Overview!$P$28=0,0,D83/Deal_Overview!$P$28)</f>
        <v>0</v>
      </c>
      <c r="H83" s="1133"/>
      <c r="I83" s="1134">
        <f>D83*1</f>
        <v>0</v>
      </c>
      <c r="J83" s="1135">
        <f t="shared" si="41"/>
        <v>0</v>
      </c>
      <c r="K83" s="1136">
        <f t="shared" si="41"/>
        <v>0</v>
      </c>
      <c r="L83" s="1135">
        <f>SUM(I83:K83)*Setup!$L$3</f>
        <v>0</v>
      </c>
      <c r="M83" s="1135">
        <f>I83*Setup!$L$19</f>
        <v>0</v>
      </c>
      <c r="N83" s="1138">
        <f t="shared" si="38"/>
        <v>0</v>
      </c>
      <c r="O83" s="1139"/>
      <c r="P83" s="1137"/>
      <c r="Q83" s="1135">
        <f t="shared" si="39"/>
        <v>0</v>
      </c>
      <c r="R83" s="1155">
        <f t="shared" si="40"/>
        <v>0</v>
      </c>
      <c r="S83" s="1140">
        <f t="shared" si="42"/>
        <v>0</v>
      </c>
      <c r="T83" s="1141">
        <f>IF(S83&gt;M83,0,(M83-S83)*Setup!$L$22)</f>
        <v>0</v>
      </c>
    </row>
    <row r="84" spans="1:20">
      <c r="A84" s="1127">
        <v>72</v>
      </c>
      <c r="B84" s="1128"/>
      <c r="C84" s="1083" t="s">
        <v>363</v>
      </c>
      <c r="D84" s="1143">
        <f>ROUND(IF(F84=Lists!$D$5,E84,IF(F84=Lists!$D$6,E84*'Units&amp;Income'!$AV$94,IF(F84=Lists!$D$7,DevCosts!E84*Setup!$D$37,IF(F84=Lists!$D$8,E84*Setup!$D$38,IF(F84=Lists!$D$9,SUM((DevCosts!E84*DevCosts!$D$13),($D$48*E84)),0))))),0)</f>
        <v>0</v>
      </c>
      <c r="E84" s="1145">
        <v>0</v>
      </c>
      <c r="F84" s="1131" t="s">
        <v>273</v>
      </c>
      <c r="G84" s="1132">
        <f>IF(Deal_Overview!$P$28=0,0,D84/Deal_Overview!$P$28)</f>
        <v>0</v>
      </c>
      <c r="H84" s="1133"/>
      <c r="I84" s="1134">
        <f>$D84*0</f>
        <v>0</v>
      </c>
      <c r="J84" s="1135">
        <f t="shared" si="41"/>
        <v>0</v>
      </c>
      <c r="K84" s="1136">
        <f t="shared" si="41"/>
        <v>0</v>
      </c>
      <c r="L84" s="1135">
        <f>SUM(I84:K84)*Setup!$L$3</f>
        <v>0</v>
      </c>
      <c r="M84" s="1135">
        <f>I84*Setup!$L$19</f>
        <v>0</v>
      </c>
      <c r="N84" s="1138">
        <f t="shared" si="38"/>
        <v>0</v>
      </c>
      <c r="O84" s="1139"/>
      <c r="P84" s="1137"/>
      <c r="Q84" s="1135">
        <f t="shared" si="39"/>
        <v>0</v>
      </c>
      <c r="R84" s="1155">
        <f t="shared" si="40"/>
        <v>0</v>
      </c>
      <c r="S84" s="1140">
        <f t="shared" si="42"/>
        <v>0</v>
      </c>
      <c r="T84" s="1141">
        <f>IF(S84&gt;M84,0,(M84-S84)*Setup!$L$22)</f>
        <v>0</v>
      </c>
    </row>
    <row r="85" spans="1:20">
      <c r="A85" s="1127">
        <v>73</v>
      </c>
      <c r="B85" s="1128"/>
      <c r="C85" s="1083" t="s">
        <v>364</v>
      </c>
      <c r="D85" s="1143">
        <f>ROUND(IF(F85=Lists!$D$5,E85,IF(F85=Lists!$D$6,E85*'Units&amp;Income'!$AV$94,IF(F85=Lists!$D$7,DevCosts!E85*Setup!$D$37,IF(F85=Lists!$D$8,E85*Setup!$D$38,IF(F85=Lists!$D$9,SUM((DevCosts!E85*DevCosts!$D$13),($D$48*E85)),0))))),0)</f>
        <v>0</v>
      </c>
      <c r="E85" s="1145">
        <v>0</v>
      </c>
      <c r="F85" s="1131" t="s">
        <v>273</v>
      </c>
      <c r="G85" s="1132">
        <f>IF(Deal_Overview!$P$28=0,0,D85/Deal_Overview!$P$28)</f>
        <v>0</v>
      </c>
      <c r="H85" s="1133"/>
      <c r="I85" s="1134">
        <f>D85*1</f>
        <v>0</v>
      </c>
      <c r="J85" s="1135">
        <f t="shared" si="41"/>
        <v>0</v>
      </c>
      <c r="K85" s="1136">
        <f t="shared" si="41"/>
        <v>0</v>
      </c>
      <c r="L85" s="1135">
        <f>SUM(I85:K85)*Setup!$L$3</f>
        <v>0</v>
      </c>
      <c r="M85" s="1135">
        <f>I85*Setup!$L$19</f>
        <v>0</v>
      </c>
      <c r="N85" s="1138">
        <f t="shared" si="38"/>
        <v>0</v>
      </c>
      <c r="O85" s="1139"/>
      <c r="P85" s="1137"/>
      <c r="Q85" s="1135">
        <f t="shared" si="39"/>
        <v>0</v>
      </c>
      <c r="R85" s="1155">
        <f t="shared" si="40"/>
        <v>0</v>
      </c>
      <c r="S85" s="1140">
        <f t="shared" si="42"/>
        <v>0</v>
      </c>
      <c r="T85" s="1141">
        <f>IF(S85&gt;M85,0,(M85-S85)*Setup!$L$22)</f>
        <v>0</v>
      </c>
    </row>
    <row r="86" spans="1:20">
      <c r="A86" s="1127">
        <v>74</v>
      </c>
      <c r="B86" s="1128"/>
      <c r="C86" s="1083" t="s">
        <v>365</v>
      </c>
      <c r="D86" s="1143">
        <f>ROUND(IF(F86=Lists!$D$5,E86,IF(F86=Lists!$D$6,E86*'Units&amp;Income'!$AV$94,IF(F86=Lists!$D$7,DevCosts!E86*Setup!$D$37,IF(F86=Lists!$D$8,E86*Setup!$D$38,IF(F86=Lists!$D$9,SUM((DevCosts!E86*DevCosts!$D$13),($D$48*E86)),0))))),0)</f>
        <v>0</v>
      </c>
      <c r="E86" s="1145">
        <v>0</v>
      </c>
      <c r="F86" s="1131" t="s">
        <v>273</v>
      </c>
      <c r="G86" s="1132">
        <f>IF(Deal_Overview!$P$28=0,0,D86/Deal_Overview!$P$28)</f>
        <v>0</v>
      </c>
      <c r="H86" s="1133"/>
      <c r="I86" s="1134">
        <f>D86*1</f>
        <v>0</v>
      </c>
      <c r="J86" s="1135">
        <f t="shared" si="41"/>
        <v>0</v>
      </c>
      <c r="K86" s="1136">
        <f t="shared" si="41"/>
        <v>0</v>
      </c>
      <c r="L86" s="1135">
        <f>SUM(I86:K86)*Setup!$L$3</f>
        <v>0</v>
      </c>
      <c r="M86" s="1135">
        <f>I86*Setup!$L$19</f>
        <v>0</v>
      </c>
      <c r="N86" s="1138">
        <f t="shared" si="38"/>
        <v>0</v>
      </c>
      <c r="O86" s="1139"/>
      <c r="P86" s="1137"/>
      <c r="Q86" s="1135">
        <f t="shared" si="39"/>
        <v>0</v>
      </c>
      <c r="R86" s="1155">
        <f t="shared" si="40"/>
        <v>0</v>
      </c>
      <c r="S86" s="1140">
        <f t="shared" si="42"/>
        <v>0</v>
      </c>
      <c r="T86" s="1141">
        <f>IF(S86&gt;M86,0,(M86-S86)*Setup!$L$22)</f>
        <v>0</v>
      </c>
    </row>
    <row r="87" spans="1:20">
      <c r="A87" s="1127">
        <v>75</v>
      </c>
      <c r="B87" s="1128"/>
      <c r="C87" s="1083" t="s">
        <v>366</v>
      </c>
      <c r="D87" s="1143">
        <f>ROUND(IF(F87=Lists!$D$5,E87,IF(F87=Lists!$D$6,E87*'Units&amp;Income'!$AV$94,IF(F87=Lists!$D$7,DevCosts!E87*Setup!$D$37,IF(F87=Lists!$D$8,E87*Setup!$D$38,IF(F87=Lists!$D$9,SUM((DevCosts!E87*DevCosts!$D$13),($D$48*E87)),0))))),0)</f>
        <v>0</v>
      </c>
      <c r="E87" s="1145">
        <v>0</v>
      </c>
      <c r="F87" s="1131" t="s">
        <v>273</v>
      </c>
      <c r="G87" s="1132">
        <f>IF(Deal_Overview!$P$28=0,0,D87/Deal_Overview!$P$28)</f>
        <v>0</v>
      </c>
      <c r="H87" s="1133"/>
      <c r="I87" s="1134">
        <f>D87*0.5</f>
        <v>0</v>
      </c>
      <c r="J87" s="1135">
        <f t="shared" si="41"/>
        <v>0</v>
      </c>
      <c r="K87" s="1136">
        <f t="shared" si="41"/>
        <v>0</v>
      </c>
      <c r="L87" s="1135">
        <f>SUM(I87:K87)*Setup!$L$3</f>
        <v>0</v>
      </c>
      <c r="M87" s="1135">
        <f>I87*Setup!$L$19</f>
        <v>0</v>
      </c>
      <c r="N87" s="1138">
        <f t="shared" si="38"/>
        <v>0</v>
      </c>
      <c r="O87" s="1139"/>
      <c r="P87" s="1137"/>
      <c r="Q87" s="1135">
        <f t="shared" si="39"/>
        <v>0</v>
      </c>
      <c r="R87" s="1155">
        <f t="shared" si="40"/>
        <v>0</v>
      </c>
      <c r="S87" s="1140">
        <f t="shared" si="42"/>
        <v>0</v>
      </c>
      <c r="T87" s="1141">
        <f>IF(S87&gt;M87,0,(M87-S87)*Setup!$L$22)</f>
        <v>0</v>
      </c>
    </row>
    <row r="88" spans="1:20">
      <c r="A88" s="1127">
        <v>76</v>
      </c>
      <c r="B88" s="1128"/>
      <c r="C88" s="1083" t="s">
        <v>367</v>
      </c>
      <c r="D88" s="1143">
        <f>ROUND(IF(F88=Lists!$D$5,E88,IF(F88=Lists!$D$6,E88*'Units&amp;Income'!$AV$94,IF(F88=Lists!$D$7,DevCosts!E88*Setup!$D$37,IF(F88=Lists!$D$8,E88*Setup!$D$38,IF(F88=Lists!$D$9,SUM((DevCosts!E88*DevCosts!$D$13),($D$48*E88)),0))))),0)</f>
        <v>0</v>
      </c>
      <c r="E88" s="1145">
        <v>0</v>
      </c>
      <c r="F88" s="1131" t="s">
        <v>273</v>
      </c>
      <c r="G88" s="1132">
        <f>IF(Deal_Overview!$P$28=0,0,D88/Deal_Overview!$P$28)</f>
        <v>0</v>
      </c>
      <c r="H88" s="1133"/>
      <c r="I88" s="1134">
        <f>D88*0.5</f>
        <v>0</v>
      </c>
      <c r="J88" s="1135">
        <f t="shared" si="41"/>
        <v>0</v>
      </c>
      <c r="K88" s="1136">
        <f t="shared" si="41"/>
        <v>0</v>
      </c>
      <c r="L88" s="1135">
        <f>SUM(I88:K88)*Setup!$L$3</f>
        <v>0</v>
      </c>
      <c r="M88" s="1135">
        <f>I88*Setup!$L$19</f>
        <v>0</v>
      </c>
      <c r="N88" s="1138">
        <f t="shared" si="38"/>
        <v>0</v>
      </c>
      <c r="O88" s="1139"/>
      <c r="P88" s="1137"/>
      <c r="Q88" s="1135">
        <f t="shared" si="39"/>
        <v>0</v>
      </c>
      <c r="R88" s="1155">
        <f t="shared" si="40"/>
        <v>0</v>
      </c>
      <c r="S88" s="1140">
        <f t="shared" si="42"/>
        <v>0</v>
      </c>
      <c r="T88" s="1141">
        <f>IF(S88&gt;M88,0,(M88-S88)*Setup!$L$22)</f>
        <v>0</v>
      </c>
    </row>
    <row r="89" spans="1:20">
      <c r="A89" s="1127">
        <v>77</v>
      </c>
      <c r="B89" s="1128"/>
      <c r="C89" s="1083" t="s">
        <v>368</v>
      </c>
      <c r="D89" s="1143">
        <f>ROUND(IF(F89=Lists!$D$5,E89,IF(F89=Lists!$D$6,E89*'Units&amp;Income'!$AV$94,IF(F89=Lists!$D$7,DevCosts!E89*Setup!$D$37,IF(F89=Lists!$D$8,E89*Setup!$D$38,IF(F89=Lists!$D$9,SUM((DevCosts!E89*DevCosts!$D$13),($D$48*E89)),0))))),0)</f>
        <v>0</v>
      </c>
      <c r="E89" s="1145">
        <v>0</v>
      </c>
      <c r="F89" s="1131" t="s">
        <v>273</v>
      </c>
      <c r="G89" s="1132">
        <f>IF(Deal_Overview!$P$28=0,0,D89/Deal_Overview!$P$28)</f>
        <v>0</v>
      </c>
      <c r="H89" s="1133"/>
      <c r="I89" s="1134">
        <f t="shared" ref="I89:I96" si="43">$D89*0</f>
        <v>0</v>
      </c>
      <c r="J89" s="1135">
        <f t="shared" si="41"/>
        <v>0</v>
      </c>
      <c r="K89" s="1136">
        <f t="shared" si="41"/>
        <v>0</v>
      </c>
      <c r="L89" s="1135">
        <f>SUM(I89:K89)*Setup!$L$3</f>
        <v>0</v>
      </c>
      <c r="M89" s="1135">
        <f>I89*Setup!$L$19</f>
        <v>0</v>
      </c>
      <c r="N89" s="1138">
        <f t="shared" si="38"/>
        <v>0</v>
      </c>
      <c r="O89" s="1139"/>
      <c r="P89" s="1137"/>
      <c r="Q89" s="1135">
        <f t="shared" si="39"/>
        <v>0</v>
      </c>
      <c r="R89" s="1155">
        <f t="shared" si="40"/>
        <v>0</v>
      </c>
      <c r="S89" s="1140">
        <f t="shared" si="42"/>
        <v>0</v>
      </c>
      <c r="T89" s="1141">
        <f>IF(S89&gt;M89,0,(M89-S89)*Setup!$L$22)</f>
        <v>0</v>
      </c>
    </row>
    <row r="90" spans="1:20">
      <c r="A90" s="1127">
        <v>78</v>
      </c>
      <c r="B90" s="1128"/>
      <c r="C90" s="1083" t="s">
        <v>369</v>
      </c>
      <c r="D90" s="1143">
        <f>ROUND(IF(F90=Lists!$D$5,E90,IF(F90=Lists!$D$6,E90*'Units&amp;Income'!$AV$94,IF(F90=Lists!$D$7,DevCosts!E90*Setup!$D$37,IF(F90=Lists!$D$8,E90*Setup!$D$38,IF(F90=Lists!$D$9,SUM((DevCosts!E90*DevCosts!$D$13),($D$48*E90)),0))))),0)</f>
        <v>0</v>
      </c>
      <c r="E90" s="1145">
        <v>0</v>
      </c>
      <c r="F90" s="1131" t="s">
        <v>273</v>
      </c>
      <c r="G90" s="1132">
        <f>IF(Deal_Overview!$P$28=0,0,D90/Deal_Overview!$P$28)</f>
        <v>0</v>
      </c>
      <c r="H90" s="1133"/>
      <c r="I90" s="1134">
        <f t="shared" si="43"/>
        <v>0</v>
      </c>
      <c r="J90" s="1135">
        <f t="shared" si="41"/>
        <v>0</v>
      </c>
      <c r="K90" s="1136">
        <f t="shared" si="41"/>
        <v>0</v>
      </c>
      <c r="L90" s="1135">
        <f>SUM(I90:K90)*Setup!$L$3</f>
        <v>0</v>
      </c>
      <c r="M90" s="1135">
        <f>I90*Setup!$L$19</f>
        <v>0</v>
      </c>
      <c r="N90" s="1138">
        <f t="shared" si="38"/>
        <v>0</v>
      </c>
      <c r="O90" s="1139"/>
      <c r="P90" s="1137"/>
      <c r="Q90" s="1135">
        <f t="shared" si="39"/>
        <v>0</v>
      </c>
      <c r="R90" s="1155">
        <f t="shared" si="40"/>
        <v>0</v>
      </c>
      <c r="S90" s="1140">
        <f t="shared" si="42"/>
        <v>0</v>
      </c>
      <c r="T90" s="1141">
        <f>IF(S90&gt;M90,0,(M90-S90)*Setup!$L$22)</f>
        <v>0</v>
      </c>
    </row>
    <row r="91" spans="1:20">
      <c r="A91" s="1127">
        <v>79</v>
      </c>
      <c r="B91" s="1128"/>
      <c r="C91" s="1083" t="s">
        <v>370</v>
      </c>
      <c r="D91" s="1143">
        <f>ROUND(IF(F91=Lists!$D$5,E91,IF(F91=Lists!$D$6,E91*'Units&amp;Income'!$AV$94,IF(F91=Lists!$D$7,DevCosts!E91*Setup!$D$37,IF(F91=Lists!$D$8,E91*Setup!$D$38,IF(F91=Lists!$D$9,SUM((DevCosts!E91*DevCosts!$D$13),($D$48*E91)),0))))),0)</f>
        <v>0</v>
      </c>
      <c r="E91" s="1145">
        <v>0</v>
      </c>
      <c r="F91" s="1131" t="s">
        <v>273</v>
      </c>
      <c r="G91" s="1132">
        <f>IF(Deal_Overview!$P$28=0,0,D91/Deal_Overview!$P$28)</f>
        <v>0</v>
      </c>
      <c r="H91" s="1133"/>
      <c r="I91" s="1134">
        <f t="shared" si="43"/>
        <v>0</v>
      </c>
      <c r="J91" s="1135">
        <f t="shared" si="41"/>
        <v>0</v>
      </c>
      <c r="K91" s="1136">
        <f t="shared" si="41"/>
        <v>0</v>
      </c>
      <c r="L91" s="1135">
        <f>SUM(I91:K91)*Setup!$L$3</f>
        <v>0</v>
      </c>
      <c r="M91" s="1135">
        <f>I91*Setup!$L$19</f>
        <v>0</v>
      </c>
      <c r="N91" s="1138">
        <f t="shared" si="38"/>
        <v>0</v>
      </c>
      <c r="O91" s="1139"/>
      <c r="P91" s="1137"/>
      <c r="Q91" s="1135">
        <f t="shared" si="39"/>
        <v>0</v>
      </c>
      <c r="R91" s="1155">
        <f t="shared" si="40"/>
        <v>0</v>
      </c>
      <c r="S91" s="1140">
        <f t="shared" si="42"/>
        <v>0</v>
      </c>
      <c r="T91" s="1141">
        <f>IF(S91&gt;M91,0,(M91-S91)*Setup!$L$22)</f>
        <v>0</v>
      </c>
    </row>
    <row r="92" spans="1:20">
      <c r="A92" s="1127">
        <v>80</v>
      </c>
      <c r="B92" s="1128"/>
      <c r="C92" s="1083" t="s">
        <v>371</v>
      </c>
      <c r="D92" s="1143">
        <f>ROUND(IF(F92=Lists!$D$5,E92,IF(F92=Lists!$D$6,E92*'Units&amp;Income'!$AV$94,IF(F92=Lists!$D$7,DevCosts!E92*Setup!$D$37,IF(F92=Lists!$D$8,E92*Setup!$D$38,IF(F92=Lists!$D$9,SUM((DevCosts!E92*DevCosts!$D$13),($D$48*E92)),0))))),0)</f>
        <v>0</v>
      </c>
      <c r="E92" s="1145">
        <v>0</v>
      </c>
      <c r="F92" s="1131" t="s">
        <v>273</v>
      </c>
      <c r="G92" s="1132">
        <f>IF(Deal_Overview!$P$28=0,0,D92/Deal_Overview!$P$28)</f>
        <v>0</v>
      </c>
      <c r="H92" s="1133"/>
      <c r="I92" s="1134">
        <f t="shared" si="43"/>
        <v>0</v>
      </c>
      <c r="J92" s="1135">
        <f t="shared" si="41"/>
        <v>0</v>
      </c>
      <c r="K92" s="1136">
        <f t="shared" si="41"/>
        <v>0</v>
      </c>
      <c r="L92" s="1135">
        <f>SUM(I92:K92)*Setup!$L$3</f>
        <v>0</v>
      </c>
      <c r="M92" s="1135">
        <f>I92*Setup!$L$19</f>
        <v>0</v>
      </c>
      <c r="N92" s="1138">
        <f t="shared" si="38"/>
        <v>0</v>
      </c>
      <c r="O92" s="1139"/>
      <c r="P92" s="1137"/>
      <c r="Q92" s="1135">
        <f t="shared" si="39"/>
        <v>0</v>
      </c>
      <c r="R92" s="1155">
        <f t="shared" si="40"/>
        <v>0</v>
      </c>
      <c r="S92" s="1140">
        <f t="shared" si="42"/>
        <v>0</v>
      </c>
      <c r="T92" s="1141">
        <f>IF(S92&gt;M92,0,(M92-S92)*Setup!$L$22)</f>
        <v>0</v>
      </c>
    </row>
    <row r="93" spans="1:20">
      <c r="A93" s="1127">
        <v>81</v>
      </c>
      <c r="B93" s="1128"/>
      <c r="C93" s="1083" t="s">
        <v>372</v>
      </c>
      <c r="D93" s="1143">
        <f>ROUND(IF(F93=Lists!$D$5,E93,IF(F93=Lists!$D$6,E93*'Units&amp;Income'!$AV$94,IF(F93=Lists!$D$7,DevCosts!E93*Setup!$D$37,IF(F93=Lists!$D$8,E93*Setup!$D$38,IF(F93=Lists!$D$9,SUM((DevCosts!E93*DevCosts!$D$13),($D$48*E93)),0))))),0)</f>
        <v>0</v>
      </c>
      <c r="E93" s="1145">
        <v>0</v>
      </c>
      <c r="F93" s="1131" t="s">
        <v>273</v>
      </c>
      <c r="G93" s="1132">
        <f>IF(Deal_Overview!$P$28=0,0,D93/Deal_Overview!$P$28)</f>
        <v>0</v>
      </c>
      <c r="H93" s="1133"/>
      <c r="I93" s="1134">
        <f t="shared" si="43"/>
        <v>0</v>
      </c>
      <c r="J93" s="1135">
        <f t="shared" si="41"/>
        <v>0</v>
      </c>
      <c r="K93" s="1136">
        <f t="shared" si="41"/>
        <v>0</v>
      </c>
      <c r="L93" s="1135">
        <f>SUM(I93:K93)*Setup!$L$3</f>
        <v>0</v>
      </c>
      <c r="M93" s="1135">
        <f>I93*Setup!$L$19</f>
        <v>0</v>
      </c>
      <c r="N93" s="1138">
        <f t="shared" si="38"/>
        <v>0</v>
      </c>
      <c r="O93" s="1139"/>
      <c r="P93" s="1137"/>
      <c r="Q93" s="1135">
        <f t="shared" si="39"/>
        <v>0</v>
      </c>
      <c r="R93" s="1155">
        <f t="shared" si="40"/>
        <v>0</v>
      </c>
      <c r="S93" s="1140">
        <f t="shared" si="42"/>
        <v>0</v>
      </c>
      <c r="T93" s="1141">
        <f>IF(S93&gt;M93,0,(M93-S93)*Setup!$L$22)</f>
        <v>0</v>
      </c>
    </row>
    <row r="94" spans="1:20">
      <c r="A94" s="1127">
        <v>82</v>
      </c>
      <c r="B94" s="1128"/>
      <c r="C94" s="1083" t="s">
        <v>373</v>
      </c>
      <c r="D94" s="1143">
        <f>ROUND(IF(F94=Lists!$D$5,E94,IF(F94=Lists!$D$6,E94*'Units&amp;Income'!$AV$94,IF(F94=Lists!$D$7,DevCosts!E94*Setup!$D$37,IF(F94=Lists!$D$8,E94*Setup!$D$38,IF(F94=Lists!$D$9,SUM((DevCosts!E94*DevCosts!$D$13),($D$48*E94)),0))))),0)</f>
        <v>0</v>
      </c>
      <c r="E94" s="1145">
        <v>0</v>
      </c>
      <c r="F94" s="1131" t="s">
        <v>273</v>
      </c>
      <c r="G94" s="1132">
        <f>IF(Deal_Overview!$P$28=0,0,D94/Deal_Overview!$P$28)</f>
        <v>0</v>
      </c>
      <c r="H94" s="1133"/>
      <c r="I94" s="1134">
        <f t="shared" si="43"/>
        <v>0</v>
      </c>
      <c r="J94" s="1135">
        <f t="shared" si="41"/>
        <v>0</v>
      </c>
      <c r="K94" s="1136">
        <f t="shared" si="41"/>
        <v>0</v>
      </c>
      <c r="L94" s="1135">
        <f>SUM(I94:K94)*Setup!$L$3</f>
        <v>0</v>
      </c>
      <c r="M94" s="1135">
        <f>I94*Setup!$L$19</f>
        <v>0</v>
      </c>
      <c r="N94" s="1138">
        <f t="shared" si="38"/>
        <v>0</v>
      </c>
      <c r="O94" s="1139"/>
      <c r="P94" s="1137"/>
      <c r="Q94" s="1135">
        <f t="shared" si="39"/>
        <v>0</v>
      </c>
      <c r="R94" s="1155">
        <f t="shared" si="40"/>
        <v>0</v>
      </c>
      <c r="S94" s="1140">
        <f t="shared" si="42"/>
        <v>0</v>
      </c>
      <c r="T94" s="1141">
        <f>IF(S94&gt;M94,0,(M94-S94)*Setup!$L$22)</f>
        <v>0</v>
      </c>
    </row>
    <row r="95" spans="1:20">
      <c r="A95" s="1127">
        <v>83</v>
      </c>
      <c r="B95" s="1128"/>
      <c r="C95" s="1083" t="s">
        <v>374</v>
      </c>
      <c r="D95" s="1143">
        <f ca="1">ROUND(IF(F95=Lists!$D$5,E95,IF(F95=Lists!$D$6,E95*'Units&amp;Income'!$AV$94,IF(F95=Lists!$D$7,DevCosts!E95*Setup!$D$37,IF(F95=Lists!$D$8,E95*Setup!$D$38,IF(F95=Lists!$D$9,SUM((DevCosts!E95*DevCosts!$D$13),($D$48*E95)),0))))),0)</f>
        <v>0</v>
      </c>
      <c r="E95" s="1144">
        <f ca="1">Sources!I24</f>
        <v>0</v>
      </c>
      <c r="F95" s="1135" t="s">
        <v>273</v>
      </c>
      <c r="G95" s="1132">
        <f>IF(Deal_Overview!$P$28=0,0,D95/Deal_Overview!$P$28)</f>
        <v>0</v>
      </c>
      <c r="H95" s="1133"/>
      <c r="I95" s="1134">
        <f ca="1">$D95*1</f>
        <v>0</v>
      </c>
      <c r="J95" s="1135">
        <f t="shared" ca="1" si="41"/>
        <v>0</v>
      </c>
      <c r="K95" s="1136">
        <f t="shared" ca="1" si="41"/>
        <v>0</v>
      </c>
      <c r="L95" s="1135">
        <f ca="1">SUM(I95:K95)*Setup!$L$3</f>
        <v>0</v>
      </c>
      <c r="M95" s="1135">
        <f ca="1">I95*Setup!$L$19</f>
        <v>0</v>
      </c>
      <c r="N95" s="1138">
        <f t="shared" ca="1" si="38"/>
        <v>0</v>
      </c>
      <c r="O95" s="1139"/>
      <c r="P95" s="1137"/>
      <c r="Q95" s="1135">
        <f t="shared" ca="1" si="39"/>
        <v>0</v>
      </c>
      <c r="R95" s="1155">
        <f t="shared" ca="1" si="40"/>
        <v>0</v>
      </c>
      <c r="S95" s="1140">
        <f t="shared" ca="1" si="42"/>
        <v>0</v>
      </c>
      <c r="T95" s="1141">
        <f ca="1">IF(S95&gt;M95,0,(M95-S95)*Setup!$L$22)</f>
        <v>0</v>
      </c>
    </row>
    <row r="96" spans="1:20">
      <c r="A96" s="1127">
        <v>84</v>
      </c>
      <c r="B96" s="1128"/>
      <c r="C96" s="1083" t="s">
        <v>375</v>
      </c>
      <c r="D96" s="1143">
        <f>ROUND(IF(F96=Lists!$D$5,E96,IF(F96=Lists!$D$6,E96*'Units&amp;Income'!$AV$94,IF(F96=Lists!$D$7,DevCosts!E96*Setup!$D$37,IF(F96=Lists!$D$8,E96*Setup!$D$38,IF(F96=Lists!$D$9,SUM((DevCosts!E96*DevCosts!$D$13),($D$48*E96)),0))))),0)</f>
        <v>0</v>
      </c>
      <c r="E96" s="1145">
        <v>0</v>
      </c>
      <c r="F96" s="1131" t="s">
        <v>273</v>
      </c>
      <c r="G96" s="1132">
        <f>IF(Deal_Overview!$P$28=0,0,D96/Deal_Overview!$P$28)</f>
        <v>0</v>
      </c>
      <c r="H96" s="1133"/>
      <c r="I96" s="1134">
        <f t="shared" si="43"/>
        <v>0</v>
      </c>
      <c r="J96" s="1135">
        <f t="shared" si="41"/>
        <v>0</v>
      </c>
      <c r="K96" s="1136">
        <f t="shared" si="41"/>
        <v>0</v>
      </c>
      <c r="L96" s="1135">
        <f>SUM(I96:K96)*Setup!$L$3</f>
        <v>0</v>
      </c>
      <c r="M96" s="1135">
        <f>I96*Setup!$L$19</f>
        <v>0</v>
      </c>
      <c r="N96" s="1138">
        <f t="shared" si="38"/>
        <v>0</v>
      </c>
      <c r="O96" s="1139"/>
      <c r="P96" s="1137"/>
      <c r="Q96" s="1135">
        <f t="shared" si="39"/>
        <v>0</v>
      </c>
      <c r="R96" s="1155">
        <f t="shared" si="40"/>
        <v>0</v>
      </c>
      <c r="S96" s="1140">
        <f t="shared" si="42"/>
        <v>0</v>
      </c>
      <c r="T96" s="1141">
        <f>IF(S96&gt;M96,0,(M96-S96)*Setup!$L$22)</f>
        <v>0</v>
      </c>
    </row>
    <row r="97" spans="1:94" s="56" customFormat="1">
      <c r="A97" s="1146"/>
      <c r="B97" s="1919" t="s">
        <v>376</v>
      </c>
      <c r="C97" s="1919"/>
      <c r="D97" s="1147">
        <f ca="1">SUM(D81:D96)</f>
        <v>0</v>
      </c>
      <c r="E97" s="1148"/>
      <c r="F97" s="1149"/>
      <c r="G97" s="1147">
        <f>IF(Deal_Overview!$P$28=0,0,D97/Deal_Overview!$P$28)</f>
        <v>0</v>
      </c>
      <c r="H97" s="1150"/>
      <c r="I97" s="1151">
        <f t="shared" ref="I97:Q97" ca="1" si="44">SUM(I81:I96)</f>
        <v>0</v>
      </c>
      <c r="J97" s="1151">
        <f t="shared" ca="1" si="44"/>
        <v>0</v>
      </c>
      <c r="K97" s="1151">
        <f t="shared" ca="1" si="44"/>
        <v>0</v>
      </c>
      <c r="L97" s="1151">
        <f t="shared" ca="1" si="44"/>
        <v>0</v>
      </c>
      <c r="M97" s="1151">
        <f t="shared" ca="1" si="44"/>
        <v>0</v>
      </c>
      <c r="N97" s="1149">
        <f t="shared" ca="1" si="44"/>
        <v>0</v>
      </c>
      <c r="O97" s="1151">
        <f t="shared" si="44"/>
        <v>0</v>
      </c>
      <c r="P97" s="1151">
        <f t="shared" si="44"/>
        <v>0</v>
      </c>
      <c r="Q97" s="1151">
        <f t="shared" ca="1" si="44"/>
        <v>0</v>
      </c>
      <c r="R97" s="1149">
        <f ca="1">SUM(R81:R96)</f>
        <v>0</v>
      </c>
      <c r="S97" s="1154"/>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row>
    <row r="98" spans="1:94">
      <c r="A98" s="1127">
        <v>85</v>
      </c>
      <c r="B98" s="1128"/>
      <c r="C98" s="1083" t="s">
        <v>377</v>
      </c>
      <c r="D98" s="1143">
        <f>ROUND(IF(F98=Lists!$D$5,E98,IF(F98=Lists!$D$6,E98*'Units&amp;Income'!$AV$94,IF(F98=Lists!$D$7,DevCosts!E98*Setup!$D$37,IF(F98=Lists!$D$8,E98*Setup!$D$38,IF(F98=Lists!$D$9,SUM((DevCosts!E98*DevCosts!$D$13),($D$48*E98)),0))))),0)</f>
        <v>0</v>
      </c>
      <c r="E98" s="1145">
        <v>0</v>
      </c>
      <c r="F98" s="1131" t="s">
        <v>273</v>
      </c>
      <c r="G98" s="1132">
        <f>IF(Deal_Overview!$P$28=0,0,D98/Deal_Overview!$P$28)</f>
        <v>0</v>
      </c>
      <c r="H98" s="1133"/>
      <c r="I98" s="1134">
        <f>D98*1</f>
        <v>0</v>
      </c>
      <c r="J98" s="1135">
        <f t="shared" ref="J98:K102" si="45">$D98*0</f>
        <v>0</v>
      </c>
      <c r="K98" s="1136">
        <f t="shared" si="45"/>
        <v>0</v>
      </c>
      <c r="L98" s="1135">
        <f>SUM(I98:K98)*Setup!$L$3</f>
        <v>0</v>
      </c>
      <c r="M98" s="1135">
        <f>I98*Setup!$L$19</f>
        <v>0</v>
      </c>
      <c r="N98" s="1138">
        <f>D98-SUM(I98:K98)</f>
        <v>0</v>
      </c>
      <c r="O98" s="1139"/>
      <c r="P98" s="1137"/>
      <c r="Q98" s="1135">
        <f t="shared" si="39"/>
        <v>0</v>
      </c>
      <c r="R98" s="1155">
        <f t="shared" si="40"/>
        <v>0</v>
      </c>
      <c r="S98" s="1140">
        <f>IF(SUM(I98:K98)&gt;0,(L98/SUM(I98:K98))*I98,0)</f>
        <v>0</v>
      </c>
      <c r="T98" s="1141">
        <f>IF(S98&gt;M98,0,(M98-S98)*Setup!$L$22)</f>
        <v>0</v>
      </c>
      <c r="U98" s="1141"/>
      <c r="V98" s="1141"/>
      <c r="W98" s="1141"/>
      <c r="X98" s="1141"/>
      <c r="Y98" s="1141"/>
      <c r="Z98" s="1141"/>
      <c r="AA98" s="1141"/>
      <c r="AB98" s="1141"/>
      <c r="AC98" s="1141"/>
      <c r="AD98" s="1141"/>
      <c r="AE98" s="1141"/>
      <c r="AF98" s="1141"/>
      <c r="AG98" s="1141"/>
      <c r="AH98" s="1141"/>
      <c r="AI98" s="1141"/>
      <c r="AJ98" s="1141"/>
      <c r="AK98" s="1141"/>
      <c r="AL98" s="1141"/>
      <c r="AM98" s="1141"/>
      <c r="AN98" s="1141"/>
      <c r="AO98" s="1141"/>
      <c r="AP98" s="1141"/>
      <c r="AQ98" s="1141"/>
      <c r="AR98" s="1141"/>
      <c r="AS98" s="1141"/>
      <c r="AT98" s="1141"/>
      <c r="AU98" s="1141"/>
      <c r="AV98" s="1141"/>
      <c r="AW98" s="1141"/>
      <c r="AX98" s="1141"/>
      <c r="AY98" s="1141"/>
      <c r="AZ98" s="1141"/>
      <c r="BA98" s="1141"/>
      <c r="BB98" s="1141"/>
      <c r="BC98" s="1141"/>
      <c r="BD98" s="1141"/>
      <c r="BE98" s="1141"/>
      <c r="BF98" s="1141"/>
      <c r="BG98" s="1141"/>
      <c r="BH98" s="1141"/>
      <c r="BI98" s="1141"/>
      <c r="BJ98" s="1141"/>
      <c r="BK98" s="1141"/>
      <c r="BL98" s="1141"/>
      <c r="BM98" s="1141"/>
      <c r="BN98" s="1141"/>
      <c r="BO98" s="1141"/>
      <c r="BP98" s="1141"/>
      <c r="BQ98" s="1141"/>
      <c r="BR98" s="1141"/>
      <c r="BS98" s="1141"/>
      <c r="BT98" s="1141"/>
      <c r="BU98" s="1141"/>
      <c r="BV98" s="1141"/>
      <c r="BW98" s="1141"/>
      <c r="BX98" s="1141"/>
      <c r="BY98" s="1141"/>
      <c r="BZ98" s="1141"/>
      <c r="CA98" s="1141"/>
      <c r="CB98" s="1141"/>
      <c r="CC98" s="1141"/>
      <c r="CD98" s="1141"/>
      <c r="CE98" s="1141"/>
      <c r="CF98" s="1141"/>
      <c r="CG98" s="1141"/>
      <c r="CH98" s="1141"/>
      <c r="CI98" s="1141"/>
      <c r="CJ98" s="1141"/>
      <c r="CK98" s="1141"/>
      <c r="CL98" s="1141"/>
      <c r="CM98" s="1141"/>
      <c r="CN98" s="1141"/>
      <c r="CO98" s="1141"/>
      <c r="CP98" s="1141"/>
    </row>
    <row r="99" spans="1:94">
      <c r="A99" s="1127">
        <v>86</v>
      </c>
      <c r="B99" s="1128"/>
      <c r="C99" s="1083" t="s">
        <v>378</v>
      </c>
      <c r="D99" s="1143">
        <f>ROUND(IF(F99=Lists!$D$5,E99,IF(F99=Lists!$D$6,E99*'Units&amp;Income'!$AV$94,IF(F99=Lists!$D$7,DevCosts!E99*Setup!$D$37,IF(F99=Lists!$D$8,E99*Setup!$D$38,IF(F99=Lists!$D$9,SUM((DevCosts!E99*DevCosts!$D$13),($D$48*E99)),0))))),0)</f>
        <v>0</v>
      </c>
      <c r="E99" s="1145">
        <v>0</v>
      </c>
      <c r="F99" s="1131" t="s">
        <v>273</v>
      </c>
      <c r="G99" s="1132">
        <f>IF(Deal_Overview!$P$28=0,0,D99/Deal_Overview!$P$28)</f>
        <v>0</v>
      </c>
      <c r="H99" s="1133"/>
      <c r="I99" s="1134">
        <f>D99*1</f>
        <v>0</v>
      </c>
      <c r="J99" s="1135">
        <f t="shared" si="45"/>
        <v>0</v>
      </c>
      <c r="K99" s="1136">
        <f t="shared" si="45"/>
        <v>0</v>
      </c>
      <c r="L99" s="1135">
        <f>SUM(I99:K99)*Setup!$L$3</f>
        <v>0</v>
      </c>
      <c r="M99" s="1135">
        <f>I99*Setup!$L$19</f>
        <v>0</v>
      </c>
      <c r="N99" s="1138">
        <f>D99-SUM(I99:K99)</f>
        <v>0</v>
      </c>
      <c r="O99" s="1139"/>
      <c r="P99" s="1137"/>
      <c r="Q99" s="1135">
        <f t="shared" si="39"/>
        <v>0</v>
      </c>
      <c r="R99" s="1155">
        <f t="shared" si="40"/>
        <v>0</v>
      </c>
      <c r="S99" s="1140">
        <f>IF(SUM(I99:K99)&gt;0,(L99/SUM(I99:K99))*I99,0)</f>
        <v>0</v>
      </c>
      <c r="T99" s="1141">
        <f>IF(S99&gt;M99,0,(M99-S99)*Setup!$L$22)</f>
        <v>0</v>
      </c>
      <c r="U99" s="1141"/>
      <c r="V99" s="1141"/>
      <c r="W99" s="1141"/>
      <c r="X99" s="1141"/>
      <c r="Y99" s="1141"/>
      <c r="Z99" s="1141"/>
      <c r="AA99" s="1141"/>
      <c r="AB99" s="1141"/>
      <c r="AC99" s="1141"/>
      <c r="AD99" s="1141"/>
      <c r="AE99" s="1141"/>
      <c r="AF99" s="1141"/>
      <c r="AG99" s="1141"/>
      <c r="AH99" s="1141"/>
      <c r="AI99" s="1141"/>
      <c r="AJ99" s="1141"/>
      <c r="AK99" s="1141"/>
      <c r="AL99" s="1141"/>
      <c r="AM99" s="1141"/>
      <c r="AN99" s="1141"/>
      <c r="AO99" s="1141"/>
      <c r="AP99" s="1141"/>
      <c r="AQ99" s="1141"/>
      <c r="AR99" s="1141"/>
      <c r="AS99" s="1141"/>
      <c r="AT99" s="1141"/>
      <c r="AU99" s="1141"/>
      <c r="AV99" s="1141"/>
      <c r="AW99" s="1141"/>
      <c r="AX99" s="1141"/>
      <c r="AY99" s="1141"/>
      <c r="AZ99" s="1141"/>
      <c r="BA99" s="1141"/>
      <c r="BB99" s="1141"/>
      <c r="BC99" s="1141"/>
      <c r="BD99" s="1141"/>
      <c r="BE99" s="1141"/>
      <c r="BF99" s="1141"/>
      <c r="BG99" s="1141"/>
      <c r="BH99" s="1141"/>
      <c r="BI99" s="1141"/>
      <c r="BJ99" s="1141"/>
      <c r="BK99" s="1141"/>
      <c r="BL99" s="1141"/>
      <c r="BM99" s="1141"/>
      <c r="BN99" s="1141"/>
      <c r="BO99" s="1141"/>
      <c r="BP99" s="1141"/>
      <c r="BQ99" s="1141"/>
      <c r="BR99" s="1141"/>
      <c r="BS99" s="1141"/>
      <c r="BT99" s="1141"/>
      <c r="BU99" s="1141"/>
      <c r="BV99" s="1141"/>
      <c r="BW99" s="1141"/>
      <c r="BX99" s="1141"/>
      <c r="BY99" s="1141"/>
      <c r="BZ99" s="1141"/>
      <c r="CA99" s="1141"/>
      <c r="CB99" s="1141"/>
      <c r="CC99" s="1141"/>
      <c r="CD99" s="1141"/>
      <c r="CE99" s="1141"/>
      <c r="CF99" s="1141"/>
      <c r="CG99" s="1141"/>
      <c r="CH99" s="1141"/>
      <c r="CI99" s="1141"/>
      <c r="CJ99" s="1141"/>
      <c r="CK99" s="1141"/>
      <c r="CL99" s="1141"/>
      <c r="CM99" s="1141"/>
      <c r="CN99" s="1141"/>
      <c r="CO99" s="1141"/>
      <c r="CP99" s="1141"/>
    </row>
    <row r="100" spans="1:94">
      <c r="A100" s="1127">
        <v>87</v>
      </c>
      <c r="B100" s="1128"/>
      <c r="C100" s="1083" t="s">
        <v>379</v>
      </c>
      <c r="D100" s="1143">
        <f>ROUND(IF(F100=Lists!$D$5,E100,IF(F100=Lists!$D$6,E100*'Units&amp;Income'!$AV$94,IF(F100=Lists!$D$7,DevCosts!E100*Setup!$D$37,IF(F100=Lists!$D$8,E100*Setup!$D$38,IF(F100=Lists!$D$9,SUM((DevCosts!E100*DevCosts!$D$13),($D$48*E100)),0))))),0)</f>
        <v>0</v>
      </c>
      <c r="E100" s="1145">
        <v>0</v>
      </c>
      <c r="F100" s="1131" t="s">
        <v>273</v>
      </c>
      <c r="G100" s="1132">
        <f>IF(Deal_Overview!$P$28=0,0,D100/Deal_Overview!$P$28)</f>
        <v>0</v>
      </c>
      <c r="H100" s="1133"/>
      <c r="I100" s="1134">
        <f>D100*1</f>
        <v>0</v>
      </c>
      <c r="J100" s="1135">
        <f t="shared" si="45"/>
        <v>0</v>
      </c>
      <c r="K100" s="1136">
        <f t="shared" si="45"/>
        <v>0</v>
      </c>
      <c r="L100" s="1135">
        <f>SUM(I100:K100)*Setup!$L$3</f>
        <v>0</v>
      </c>
      <c r="M100" s="1135">
        <f>I100*Setup!$L$19</f>
        <v>0</v>
      </c>
      <c r="N100" s="1138">
        <f>D100-SUM(I100:K100)</f>
        <v>0</v>
      </c>
      <c r="O100" s="1139"/>
      <c r="P100" s="1137"/>
      <c r="Q100" s="1135">
        <f t="shared" si="39"/>
        <v>0</v>
      </c>
      <c r="R100" s="1155">
        <f t="shared" si="40"/>
        <v>0</v>
      </c>
      <c r="S100" s="1140">
        <f>IF(SUM(I100:K100)&gt;0,(L100/SUM(I100:K100))*I100,0)</f>
        <v>0</v>
      </c>
      <c r="T100" s="1141">
        <f>IF(S100&gt;M100,0,(M100-S100)*Setup!$L$22)</f>
        <v>0</v>
      </c>
      <c r="U100" s="1141"/>
      <c r="V100" s="1141"/>
      <c r="W100" s="1141"/>
      <c r="X100" s="1141"/>
      <c r="Y100" s="1141"/>
      <c r="Z100" s="1141"/>
      <c r="AA100" s="1141"/>
      <c r="AB100" s="1141"/>
      <c r="AC100" s="1141"/>
      <c r="AD100" s="1141"/>
      <c r="AE100" s="1141"/>
      <c r="AF100" s="1141"/>
      <c r="AG100" s="1141"/>
      <c r="AH100" s="1141"/>
      <c r="AI100" s="1141"/>
      <c r="AJ100" s="1141"/>
      <c r="AK100" s="1141"/>
      <c r="AL100" s="1141"/>
      <c r="AM100" s="1141"/>
      <c r="AN100" s="1141"/>
      <c r="AO100" s="1141"/>
      <c r="AP100" s="1141"/>
      <c r="AQ100" s="1141"/>
      <c r="AR100" s="1141"/>
      <c r="AS100" s="1141"/>
      <c r="AT100" s="1141"/>
      <c r="AU100" s="1141"/>
      <c r="AV100" s="1141"/>
      <c r="AW100" s="1141"/>
      <c r="AX100" s="1141"/>
      <c r="AY100" s="1141"/>
      <c r="AZ100" s="1141"/>
      <c r="BA100" s="1141"/>
      <c r="BB100" s="1141"/>
      <c r="BC100" s="1141"/>
      <c r="BD100" s="1141"/>
      <c r="BE100" s="1141"/>
      <c r="BF100" s="1141"/>
      <c r="BG100" s="1141"/>
      <c r="BH100" s="1141"/>
      <c r="BI100" s="1141"/>
      <c r="BJ100" s="1141"/>
      <c r="BK100" s="1141"/>
      <c r="BL100" s="1141"/>
      <c r="BM100" s="1141"/>
      <c r="BN100" s="1141"/>
      <c r="BO100" s="1141"/>
      <c r="BP100" s="1141"/>
      <c r="BQ100" s="1141"/>
      <c r="BR100" s="1141"/>
      <c r="BS100" s="1141"/>
      <c r="BT100" s="1141"/>
      <c r="BU100" s="1141"/>
      <c r="BV100" s="1141"/>
      <c r="BW100" s="1141"/>
      <c r="BX100" s="1141"/>
      <c r="BY100" s="1141"/>
      <c r="BZ100" s="1141"/>
      <c r="CA100" s="1141"/>
      <c r="CB100" s="1141"/>
      <c r="CC100" s="1141"/>
      <c r="CD100" s="1141"/>
      <c r="CE100" s="1141"/>
      <c r="CF100" s="1141"/>
      <c r="CG100" s="1141"/>
      <c r="CH100" s="1141"/>
      <c r="CI100" s="1141"/>
      <c r="CJ100" s="1141"/>
      <c r="CK100" s="1141"/>
      <c r="CL100" s="1141"/>
      <c r="CM100" s="1141"/>
      <c r="CN100" s="1141"/>
      <c r="CO100" s="1141"/>
      <c r="CP100" s="1141"/>
    </row>
    <row r="101" spans="1:94">
      <c r="A101" s="1127">
        <v>88</v>
      </c>
      <c r="B101" s="1128"/>
      <c r="C101" s="1083" t="s">
        <v>380</v>
      </c>
      <c r="D101" s="1143">
        <f>ROUND(IF(F101=Lists!$D$5,E101,IF(F101=Lists!$D$6,E101*'Units&amp;Income'!$AV$94,IF(F101=Lists!$D$7,DevCosts!E101*Setup!$D$37,IF(F101=Lists!$D$8,E101*Setup!$D$38,IF(F101=Lists!$D$9,SUM((DevCosts!E101*DevCosts!$D$13),($D$48*E101)),0))))),0)</f>
        <v>0</v>
      </c>
      <c r="E101" s="1145">
        <v>0</v>
      </c>
      <c r="F101" s="1131" t="s">
        <v>273</v>
      </c>
      <c r="G101" s="1132">
        <f>IF(Deal_Overview!$P$28=0,0,D101/Deal_Overview!$P$28)</f>
        <v>0</v>
      </c>
      <c r="H101" s="1133"/>
      <c r="I101" s="1134">
        <f>D101*1</f>
        <v>0</v>
      </c>
      <c r="J101" s="1135">
        <f t="shared" si="45"/>
        <v>0</v>
      </c>
      <c r="K101" s="1136">
        <f t="shared" si="45"/>
        <v>0</v>
      </c>
      <c r="L101" s="1135">
        <f>SUM(I101:K101)*Setup!$L$3</f>
        <v>0</v>
      </c>
      <c r="M101" s="1135">
        <f>I101*Setup!$L$19</f>
        <v>0</v>
      </c>
      <c r="N101" s="1138">
        <f>D101-SUM(I101:K101)</f>
        <v>0</v>
      </c>
      <c r="O101" s="1139"/>
      <c r="P101" s="1137"/>
      <c r="Q101" s="1135">
        <f t="shared" si="39"/>
        <v>0</v>
      </c>
      <c r="R101" s="1155">
        <f t="shared" si="40"/>
        <v>0</v>
      </c>
      <c r="S101" s="1140">
        <f>IF(SUM(I101:K101)&gt;0,(L101/SUM(I101:K101))*I101,0)</f>
        <v>0</v>
      </c>
      <c r="T101" s="1141">
        <f>IF(S101&gt;M101,0,(M101-S101)*Setup!$L$22)</f>
        <v>0</v>
      </c>
      <c r="U101" s="1141"/>
      <c r="V101" s="1141"/>
      <c r="W101" s="1141"/>
      <c r="X101" s="1141"/>
      <c r="Y101" s="1141"/>
      <c r="Z101" s="1141"/>
      <c r="AA101" s="1141"/>
      <c r="AB101" s="1141"/>
      <c r="AC101" s="1141"/>
      <c r="AD101" s="1141"/>
      <c r="AE101" s="1141"/>
      <c r="AF101" s="1141"/>
      <c r="AG101" s="1141"/>
      <c r="AH101" s="1141"/>
      <c r="AI101" s="1141"/>
      <c r="AJ101" s="1141"/>
      <c r="AK101" s="1141"/>
      <c r="AL101" s="1141"/>
      <c r="AM101" s="1141"/>
      <c r="AN101" s="1141"/>
      <c r="AO101" s="1141"/>
      <c r="AP101" s="1141"/>
      <c r="AQ101" s="1141"/>
      <c r="AR101" s="1141"/>
      <c r="AS101" s="1141"/>
      <c r="AT101" s="1141"/>
      <c r="AU101" s="1141"/>
      <c r="AV101" s="1141"/>
      <c r="AW101" s="1141"/>
      <c r="AX101" s="1141"/>
      <c r="AY101" s="1141"/>
      <c r="AZ101" s="1141"/>
      <c r="BA101" s="1141"/>
      <c r="BB101" s="1141"/>
      <c r="BC101" s="1141"/>
      <c r="BD101" s="1141"/>
      <c r="BE101" s="1141"/>
      <c r="BF101" s="1141"/>
      <c r="BG101" s="1141"/>
      <c r="BH101" s="1141"/>
      <c r="BI101" s="1141"/>
      <c r="BJ101" s="1141"/>
      <c r="BK101" s="1141"/>
      <c r="BL101" s="1141"/>
      <c r="BM101" s="1141"/>
      <c r="BN101" s="1141"/>
      <c r="BO101" s="1141"/>
      <c r="BP101" s="1141"/>
      <c r="BQ101" s="1141"/>
      <c r="BR101" s="1141"/>
      <c r="BS101" s="1141"/>
      <c r="BT101" s="1141"/>
      <c r="BU101" s="1141"/>
      <c r="BV101" s="1141"/>
      <c r="BW101" s="1141"/>
      <c r="BX101" s="1141"/>
      <c r="BY101" s="1141"/>
      <c r="BZ101" s="1141"/>
      <c r="CA101" s="1141"/>
      <c r="CB101" s="1141"/>
      <c r="CC101" s="1141"/>
      <c r="CD101" s="1141"/>
      <c r="CE101" s="1141"/>
      <c r="CF101" s="1141"/>
      <c r="CG101" s="1141"/>
      <c r="CH101" s="1141"/>
      <c r="CI101" s="1141"/>
      <c r="CJ101" s="1141"/>
      <c r="CK101" s="1141"/>
      <c r="CL101" s="1141"/>
      <c r="CM101" s="1141"/>
      <c r="CN101" s="1141"/>
      <c r="CO101" s="1141"/>
      <c r="CP101" s="1141"/>
    </row>
    <row r="102" spans="1:94">
      <c r="A102" s="1127">
        <v>89</v>
      </c>
      <c r="B102" s="1128"/>
      <c r="C102" s="1083" t="s">
        <v>381</v>
      </c>
      <c r="D102" s="1143">
        <f>ROUND(IF(F102=Lists!$D$5,E102,IF(F102=Lists!$D$6,E102*'Units&amp;Income'!$AV$94,IF(F102=Lists!$D$7,DevCosts!E102*Setup!$D$37,IF(F102=Lists!$D$8,E102*Setup!$D$38,IF(F102=Lists!$D$9,SUM((DevCosts!E102*DevCosts!$D$13),($D$48*E102)),0))))),0)</f>
        <v>0</v>
      </c>
      <c r="E102" s="1145">
        <v>0</v>
      </c>
      <c r="F102" s="1131" t="s">
        <v>273</v>
      </c>
      <c r="G102" s="1132">
        <f>IF(Deal_Overview!$P$28=0,0,D102/Deal_Overview!$P$28)</f>
        <v>0</v>
      </c>
      <c r="H102" s="1133"/>
      <c r="I102" s="1134">
        <f>D102*1</f>
        <v>0</v>
      </c>
      <c r="J102" s="1135">
        <f t="shared" si="45"/>
        <v>0</v>
      </c>
      <c r="K102" s="1136">
        <f t="shared" si="45"/>
        <v>0</v>
      </c>
      <c r="L102" s="1135">
        <f>SUM(I102:K102)*Setup!$L$3</f>
        <v>0</v>
      </c>
      <c r="M102" s="1135">
        <f>I102*Setup!$L$19</f>
        <v>0</v>
      </c>
      <c r="N102" s="1138">
        <f>D102-SUM(I102:K102)</f>
        <v>0</v>
      </c>
      <c r="O102" s="1139"/>
      <c r="P102" s="1137"/>
      <c r="Q102" s="1135">
        <f t="shared" si="39"/>
        <v>0</v>
      </c>
      <c r="R102" s="1155">
        <f t="shared" si="40"/>
        <v>0</v>
      </c>
      <c r="S102" s="1140">
        <f>IF(SUM(I102:K102)&gt;0,(L102/SUM(I102:K102))*I102,0)</f>
        <v>0</v>
      </c>
      <c r="T102" s="1141">
        <f>IF(S102&gt;M102,0,(M102-S102)*Setup!$L$22)</f>
        <v>0</v>
      </c>
      <c r="U102" s="1141"/>
      <c r="V102" s="1141"/>
      <c r="W102" s="1141"/>
      <c r="X102" s="1141"/>
      <c r="Y102" s="1141"/>
      <c r="Z102" s="1141"/>
      <c r="AA102" s="1141"/>
      <c r="AB102" s="1141"/>
      <c r="AC102" s="1141"/>
      <c r="AD102" s="1141"/>
      <c r="AE102" s="1141"/>
      <c r="AF102" s="1141"/>
      <c r="AG102" s="1141"/>
      <c r="AH102" s="1141"/>
      <c r="AI102" s="1141"/>
      <c r="AJ102" s="1141"/>
      <c r="AK102" s="1141"/>
      <c r="AL102" s="1141"/>
      <c r="AM102" s="1141"/>
      <c r="AN102" s="1141"/>
      <c r="AO102" s="1141"/>
      <c r="AP102" s="1141"/>
      <c r="AQ102" s="1141"/>
      <c r="AR102" s="1141"/>
      <c r="AS102" s="1141"/>
      <c r="AT102" s="1141"/>
      <c r="AU102" s="1141"/>
      <c r="AV102" s="1141"/>
      <c r="AW102" s="1141"/>
      <c r="AX102" s="1141"/>
      <c r="AY102" s="1141"/>
      <c r="AZ102" s="1141"/>
      <c r="BA102" s="1141"/>
      <c r="BB102" s="1141"/>
      <c r="BC102" s="1141"/>
      <c r="BD102" s="1141"/>
      <c r="BE102" s="1141"/>
      <c r="BF102" s="1141"/>
      <c r="BG102" s="1141"/>
      <c r="BH102" s="1141"/>
      <c r="BI102" s="1141"/>
      <c r="BJ102" s="1141"/>
      <c r="BK102" s="1141"/>
      <c r="BL102" s="1141"/>
      <c r="BM102" s="1141"/>
      <c r="BN102" s="1141"/>
      <c r="BO102" s="1141"/>
      <c r="BP102" s="1141"/>
      <c r="BQ102" s="1141"/>
      <c r="BR102" s="1141"/>
      <c r="BS102" s="1141"/>
      <c r="BT102" s="1141"/>
      <c r="BU102" s="1141"/>
      <c r="BV102" s="1141"/>
      <c r="BW102" s="1141"/>
      <c r="BX102" s="1141"/>
      <c r="BY102" s="1141"/>
      <c r="BZ102" s="1141"/>
      <c r="CA102" s="1141"/>
      <c r="CB102" s="1141"/>
      <c r="CC102" s="1141"/>
      <c r="CD102" s="1141"/>
      <c r="CE102" s="1141"/>
      <c r="CF102" s="1141"/>
      <c r="CG102" s="1141"/>
      <c r="CH102" s="1141"/>
      <c r="CI102" s="1141"/>
      <c r="CJ102" s="1141"/>
      <c r="CK102" s="1141"/>
      <c r="CL102" s="1141"/>
      <c r="CM102" s="1141"/>
      <c r="CN102" s="1141"/>
      <c r="CO102" s="1141"/>
      <c r="CP102" s="1141"/>
    </row>
    <row r="103" spans="1:94" s="56" customFormat="1">
      <c r="A103" s="1146"/>
      <c r="B103" s="1919" t="s">
        <v>382</v>
      </c>
      <c r="C103" s="1919"/>
      <c r="D103" s="1147">
        <f>SUM(D98:D102)</f>
        <v>0</v>
      </c>
      <c r="E103" s="1148"/>
      <c r="F103" s="1149"/>
      <c r="G103" s="1147">
        <f>IF(Deal_Overview!$P$28=0,0,D103/Deal_Overview!$P$28)</f>
        <v>0</v>
      </c>
      <c r="H103" s="1150"/>
      <c r="I103" s="1151">
        <f t="shared" ref="I103:R103" si="46">SUM(I98:I102)</f>
        <v>0</v>
      </c>
      <c r="J103" s="1151">
        <f t="shared" si="46"/>
        <v>0</v>
      </c>
      <c r="K103" s="1151">
        <f t="shared" si="46"/>
        <v>0</v>
      </c>
      <c r="L103" s="1151">
        <f t="shared" si="46"/>
        <v>0</v>
      </c>
      <c r="M103" s="1151">
        <f t="shared" si="46"/>
        <v>0</v>
      </c>
      <c r="N103" s="1151">
        <f t="shared" si="46"/>
        <v>0</v>
      </c>
      <c r="O103" s="1151">
        <f t="shared" si="46"/>
        <v>0</v>
      </c>
      <c r="P103" s="1151">
        <f t="shared" si="46"/>
        <v>0</v>
      </c>
      <c r="Q103" s="1151">
        <f t="shared" si="46"/>
        <v>0</v>
      </c>
      <c r="R103" s="1149">
        <f t="shared" si="46"/>
        <v>0</v>
      </c>
      <c r="S103" s="1154"/>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row>
    <row r="104" spans="1:94">
      <c r="A104" s="1127">
        <v>90</v>
      </c>
      <c r="B104" s="1128"/>
      <c r="C104" s="1083" t="s">
        <v>383</v>
      </c>
      <c r="D104" s="1143">
        <f>ROUND(IF(F104=Lists!$D$5,E104,IF(F104=Lists!$D$6,E104*'Units&amp;Income'!$AV$94,IF(F104=Lists!$D$7,DevCosts!E104*Setup!$D$37,IF(F104=Lists!$D$8,E104*Setup!$D$38,IF(F104=Lists!$D$9,SUM((DevCosts!E104*DevCosts!$D$13),($D$48*E104)),0))))),0)</f>
        <v>0</v>
      </c>
      <c r="E104" s="1145">
        <v>0</v>
      </c>
      <c r="F104" s="1131" t="s">
        <v>273</v>
      </c>
      <c r="G104" s="1132">
        <f>IF(Deal_Overview!$P$28=0,0,D104/Deal_Overview!$P$28)</f>
        <v>0</v>
      </c>
      <c r="H104" s="1133"/>
      <c r="I104" s="1134">
        <f>D104*0</f>
        <v>0</v>
      </c>
      <c r="J104" s="1135">
        <f t="shared" ref="J104:K107" si="47">$D104*0</f>
        <v>0</v>
      </c>
      <c r="K104" s="1136">
        <f t="shared" si="47"/>
        <v>0</v>
      </c>
      <c r="L104" s="1135">
        <f>SUM(I104:K104)*Setup!$L$3</f>
        <v>0</v>
      </c>
      <c r="M104" s="1135">
        <f>I104*Setup!$L$19</f>
        <v>0</v>
      </c>
      <c r="N104" s="1138">
        <f>D104-SUM(I104:K104)</f>
        <v>0</v>
      </c>
      <c r="O104" s="1139"/>
      <c r="P104" s="1137"/>
      <c r="Q104" s="1135">
        <f t="shared" si="39"/>
        <v>0</v>
      </c>
      <c r="R104" s="1155">
        <f t="shared" si="40"/>
        <v>0</v>
      </c>
      <c r="S104" s="1140">
        <f>IF(SUM(I104:K104)&gt;0,(L104/SUM(I104:K104))*I104,0)</f>
        <v>0</v>
      </c>
      <c r="T104" s="1141">
        <f>IF(S104&gt;M104,0,(M104-S104)*Setup!$L$22)</f>
        <v>0</v>
      </c>
      <c r="U104" s="1141"/>
      <c r="V104" s="1141"/>
      <c r="W104" s="1141"/>
      <c r="X104" s="1141"/>
      <c r="Y104" s="1141"/>
      <c r="Z104" s="1141"/>
      <c r="AA104" s="1141"/>
      <c r="AB104" s="1141"/>
      <c r="AC104" s="1141"/>
      <c r="AD104" s="1141"/>
      <c r="AE104" s="1141"/>
      <c r="AF104" s="1141"/>
      <c r="AG104" s="1141"/>
      <c r="AH104" s="1141"/>
      <c r="AI104" s="1141"/>
      <c r="AJ104" s="1141"/>
      <c r="AK104" s="1141"/>
      <c r="AL104" s="1141"/>
      <c r="AM104" s="1141"/>
      <c r="AN104" s="1141"/>
      <c r="AO104" s="1141"/>
      <c r="AP104" s="1141"/>
      <c r="AQ104" s="1141"/>
      <c r="AR104" s="1141"/>
      <c r="AS104" s="1141"/>
      <c r="AT104" s="1141"/>
      <c r="AU104" s="1141"/>
      <c r="AV104" s="1141"/>
      <c r="AW104" s="1141"/>
      <c r="AX104" s="1141"/>
      <c r="AY104" s="1141"/>
      <c r="AZ104" s="1141"/>
      <c r="BA104" s="1141"/>
      <c r="BB104" s="1141"/>
      <c r="BC104" s="1141"/>
      <c r="BD104" s="1141"/>
      <c r="BE104" s="1141"/>
      <c r="BF104" s="1141"/>
      <c r="BG104" s="1141"/>
      <c r="BH104" s="1141"/>
      <c r="BI104" s="1141"/>
      <c r="BJ104" s="1141"/>
      <c r="BK104" s="1141"/>
      <c r="BL104" s="1141"/>
      <c r="BM104" s="1141"/>
      <c r="BN104" s="1141"/>
      <c r="BO104" s="1141"/>
      <c r="BP104" s="1141"/>
      <c r="BQ104" s="1141"/>
      <c r="BR104" s="1141"/>
      <c r="BS104" s="1141"/>
      <c r="BT104" s="1141"/>
      <c r="BU104" s="1141"/>
      <c r="BV104" s="1141"/>
      <c r="BW104" s="1141"/>
      <c r="BX104" s="1141"/>
      <c r="BY104" s="1141"/>
      <c r="BZ104" s="1141"/>
      <c r="CA104" s="1141"/>
      <c r="CB104" s="1141"/>
      <c r="CC104" s="1141"/>
      <c r="CD104" s="1141"/>
      <c r="CE104" s="1141"/>
      <c r="CF104" s="1141"/>
      <c r="CG104" s="1141"/>
      <c r="CH104" s="1141"/>
      <c r="CI104" s="1141"/>
      <c r="CJ104" s="1141"/>
      <c r="CK104" s="1141"/>
      <c r="CL104" s="1141"/>
      <c r="CM104" s="1141"/>
      <c r="CN104" s="1141"/>
      <c r="CO104" s="1141"/>
      <c r="CP104" s="1141"/>
    </row>
    <row r="105" spans="1:94">
      <c r="A105" s="1127">
        <v>91</v>
      </c>
      <c r="B105" s="1128"/>
      <c r="C105" s="1083" t="s">
        <v>384</v>
      </c>
      <c r="D105" s="1143">
        <f>ROUND(IF(F105=Lists!$D$5,E105,IF(F105=Lists!$D$6,E105*'Units&amp;Income'!$AV$94,IF(F105=Lists!$D$7,DevCosts!E105*Setup!$D$37,IF(F105=Lists!$D$8,E105*Setup!$D$38,IF(F105=Lists!$D$9,SUM((DevCosts!E105*DevCosts!$D$13),($D$48*E105)),0))))),0)</f>
        <v>0</v>
      </c>
      <c r="E105" s="1145">
        <v>0</v>
      </c>
      <c r="F105" s="1131" t="s">
        <v>273</v>
      </c>
      <c r="G105" s="1132">
        <f>IF(Deal_Overview!$P$28=0,0,D105/Deal_Overview!$P$28)</f>
        <v>0</v>
      </c>
      <c r="H105" s="1133"/>
      <c r="I105" s="1134">
        <f>D105*0</f>
        <v>0</v>
      </c>
      <c r="J105" s="1135">
        <f t="shared" si="47"/>
        <v>0</v>
      </c>
      <c r="K105" s="1136">
        <f t="shared" si="47"/>
        <v>0</v>
      </c>
      <c r="L105" s="1135">
        <f>SUM(I105:K105)*Setup!$L$3</f>
        <v>0</v>
      </c>
      <c r="M105" s="1135">
        <f>I105*Setup!$L$19</f>
        <v>0</v>
      </c>
      <c r="N105" s="1138">
        <f>D105-SUM(I105:K105)</f>
        <v>0</v>
      </c>
      <c r="O105" s="1139"/>
      <c r="P105" s="1137"/>
      <c r="Q105" s="1135">
        <f t="shared" si="39"/>
        <v>0</v>
      </c>
      <c r="R105" s="1155">
        <f t="shared" si="40"/>
        <v>0</v>
      </c>
      <c r="S105" s="1140">
        <f>IF(SUM(I105:K105)&gt;0,(L105/SUM(I105:K105))*I105,0)</f>
        <v>0</v>
      </c>
      <c r="T105" s="1141">
        <f>IF(S105&gt;M105,0,(M105-S105)*Setup!$L$22)</f>
        <v>0</v>
      </c>
      <c r="U105" s="1141"/>
      <c r="V105" s="1141"/>
      <c r="W105" s="1141"/>
      <c r="X105" s="1141"/>
      <c r="Y105" s="1141"/>
      <c r="Z105" s="1141"/>
      <c r="AA105" s="1141"/>
      <c r="AB105" s="1141"/>
      <c r="AC105" s="1141"/>
      <c r="AD105" s="1141"/>
      <c r="AE105" s="1141"/>
      <c r="AF105" s="1141"/>
      <c r="AG105" s="1141"/>
      <c r="AH105" s="1141"/>
      <c r="AI105" s="1141"/>
      <c r="AJ105" s="1141"/>
      <c r="AK105" s="1141"/>
      <c r="AL105" s="1141"/>
      <c r="AM105" s="1141"/>
      <c r="AN105" s="1141"/>
      <c r="AO105" s="1141"/>
      <c r="AP105" s="1141"/>
      <c r="AQ105" s="1141"/>
      <c r="AR105" s="1141"/>
      <c r="AS105" s="1141"/>
      <c r="AT105" s="1141"/>
      <c r="AU105" s="1141"/>
      <c r="AV105" s="1141"/>
      <c r="AW105" s="1141"/>
      <c r="AX105" s="1141"/>
      <c r="AY105" s="1141"/>
      <c r="AZ105" s="1141"/>
      <c r="BA105" s="1141"/>
      <c r="BB105" s="1141"/>
      <c r="BC105" s="1141"/>
      <c r="BD105" s="1141"/>
      <c r="BE105" s="1141"/>
      <c r="BF105" s="1141"/>
      <c r="BG105" s="1141"/>
      <c r="BH105" s="1141"/>
      <c r="BI105" s="1141"/>
      <c r="BJ105" s="1141"/>
      <c r="BK105" s="1141"/>
      <c r="BL105" s="1141"/>
      <c r="BM105" s="1141"/>
      <c r="BN105" s="1141"/>
      <c r="BO105" s="1141"/>
      <c r="BP105" s="1141"/>
      <c r="BQ105" s="1141"/>
      <c r="BR105" s="1141"/>
      <c r="BS105" s="1141"/>
      <c r="BT105" s="1141"/>
      <c r="BU105" s="1141"/>
      <c r="BV105" s="1141"/>
      <c r="BW105" s="1141"/>
      <c r="BX105" s="1141"/>
      <c r="BY105" s="1141"/>
      <c r="BZ105" s="1141"/>
      <c r="CA105" s="1141"/>
      <c r="CB105" s="1141"/>
      <c r="CC105" s="1141"/>
      <c r="CD105" s="1141"/>
      <c r="CE105" s="1141"/>
      <c r="CF105" s="1141"/>
      <c r="CG105" s="1141"/>
      <c r="CH105" s="1141"/>
      <c r="CI105" s="1141"/>
      <c r="CJ105" s="1141"/>
      <c r="CK105" s="1141"/>
      <c r="CL105" s="1141"/>
      <c r="CM105" s="1141"/>
      <c r="CN105" s="1141"/>
      <c r="CO105" s="1141"/>
      <c r="CP105" s="1141"/>
    </row>
    <row r="106" spans="1:94">
      <c r="A106" s="1127">
        <v>92</v>
      </c>
      <c r="B106" s="1128"/>
      <c r="C106" s="1083" t="s">
        <v>385</v>
      </c>
      <c r="D106" s="1143">
        <f>ROUND(IF(F106=Lists!$D$5,E106,IF(F106=Lists!$D$6,E106*'Units&amp;Income'!$AV$94,IF(F106=Lists!$D$7,DevCosts!E106*Setup!$D$37,IF(F106=Lists!$D$8,E106*Setup!$D$38,IF(F106=Lists!$D$9,SUM((DevCosts!E106*DevCosts!$D$13),($D$48*E106)),0))))),0)</f>
        <v>0</v>
      </c>
      <c r="E106" s="1145">
        <v>0</v>
      </c>
      <c r="F106" s="1131" t="s">
        <v>273</v>
      </c>
      <c r="G106" s="1132">
        <f>IF(Deal_Overview!$P$28=0,0,D106/Deal_Overview!$P$28)</f>
        <v>0</v>
      </c>
      <c r="H106" s="1133"/>
      <c r="I106" s="1134">
        <f>D106*0</f>
        <v>0</v>
      </c>
      <c r="J106" s="1135">
        <f t="shared" si="47"/>
        <v>0</v>
      </c>
      <c r="K106" s="1136">
        <f t="shared" si="47"/>
        <v>0</v>
      </c>
      <c r="L106" s="1135">
        <f>SUM(I106:K106)*Setup!$L$3</f>
        <v>0</v>
      </c>
      <c r="M106" s="1135">
        <f>I106*Setup!$L$19</f>
        <v>0</v>
      </c>
      <c r="N106" s="1138">
        <f>D106-SUM(I106:K106)</f>
        <v>0</v>
      </c>
      <c r="O106" s="1139"/>
      <c r="P106" s="1137"/>
      <c r="Q106" s="1135">
        <f t="shared" si="39"/>
        <v>0</v>
      </c>
      <c r="R106" s="1155">
        <f t="shared" si="40"/>
        <v>0</v>
      </c>
      <c r="S106" s="1140">
        <f>IF(SUM(I106:K106)&gt;0,(L106/SUM(I106:K106))*I106,0)</f>
        <v>0</v>
      </c>
      <c r="T106" s="1141">
        <f>IF(S106&gt;M106,0,(M106-S106)*Setup!$L$22)</f>
        <v>0</v>
      </c>
      <c r="U106" s="1141"/>
      <c r="V106" s="1141"/>
      <c r="W106" s="1141"/>
      <c r="X106" s="1141"/>
      <c r="Y106" s="1141"/>
      <c r="Z106" s="1141"/>
      <c r="AA106" s="1141"/>
      <c r="AB106" s="1141"/>
      <c r="AC106" s="1141"/>
      <c r="AD106" s="1141"/>
      <c r="AE106" s="1141"/>
      <c r="AF106" s="1141"/>
      <c r="AG106" s="1141"/>
      <c r="AH106" s="1141"/>
      <c r="AI106" s="1141"/>
      <c r="AJ106" s="1141"/>
      <c r="AK106" s="1141"/>
      <c r="AL106" s="1141"/>
      <c r="AM106" s="1141"/>
      <c r="AN106" s="1141"/>
      <c r="AO106" s="1141"/>
      <c r="AP106" s="1141"/>
      <c r="AQ106" s="1141"/>
      <c r="AR106" s="1141"/>
      <c r="AS106" s="1141"/>
      <c r="AT106" s="1141"/>
      <c r="AU106" s="1141"/>
      <c r="AV106" s="1141"/>
      <c r="AW106" s="1141"/>
      <c r="AX106" s="1141"/>
      <c r="AY106" s="1141"/>
      <c r="AZ106" s="1141"/>
      <c r="BA106" s="1141"/>
      <c r="BB106" s="1141"/>
      <c r="BC106" s="1141"/>
      <c r="BD106" s="1141"/>
      <c r="BE106" s="1141"/>
      <c r="BF106" s="1141"/>
      <c r="BG106" s="1141"/>
      <c r="BH106" s="1141"/>
      <c r="BI106" s="1141"/>
      <c r="BJ106" s="1141"/>
      <c r="BK106" s="1141"/>
      <c r="BL106" s="1141"/>
      <c r="BM106" s="1141"/>
      <c r="BN106" s="1141"/>
      <c r="BO106" s="1141"/>
      <c r="BP106" s="1141"/>
      <c r="BQ106" s="1141"/>
      <c r="BR106" s="1141"/>
      <c r="BS106" s="1141"/>
      <c r="BT106" s="1141"/>
      <c r="BU106" s="1141"/>
      <c r="BV106" s="1141"/>
      <c r="BW106" s="1141"/>
      <c r="BX106" s="1141"/>
      <c r="BY106" s="1141"/>
      <c r="BZ106" s="1141"/>
      <c r="CA106" s="1141"/>
      <c r="CB106" s="1141"/>
      <c r="CC106" s="1141"/>
      <c r="CD106" s="1141"/>
      <c r="CE106" s="1141"/>
      <c r="CF106" s="1141"/>
      <c r="CG106" s="1141"/>
      <c r="CH106" s="1141"/>
      <c r="CI106" s="1141"/>
      <c r="CJ106" s="1141"/>
      <c r="CK106" s="1141"/>
      <c r="CL106" s="1141"/>
      <c r="CM106" s="1141"/>
      <c r="CN106" s="1141"/>
      <c r="CO106" s="1141"/>
      <c r="CP106" s="1141"/>
    </row>
    <row r="107" spans="1:94">
      <c r="A107" s="1127">
        <v>93</v>
      </c>
      <c r="B107" s="1128"/>
      <c r="C107" s="1083" t="s">
        <v>386</v>
      </c>
      <c r="D107" s="1143">
        <f>ROUND(IF(F107=Lists!$D$5,E107,IF(F107=Lists!$D$6,E107*'Units&amp;Income'!$AV$94,IF(F107=Lists!$D$7,DevCosts!E107*Setup!$D$37,IF(F107=Lists!$D$8,E107*Setup!$D$38,IF(F107=Lists!$D$9,SUM((DevCosts!E107*DevCosts!$D$13),($D$48*E107)),0))))),0)</f>
        <v>0</v>
      </c>
      <c r="E107" s="1145">
        <v>0</v>
      </c>
      <c r="F107" s="1131" t="s">
        <v>273</v>
      </c>
      <c r="G107" s="1132">
        <f>IF(Deal_Overview!$P$28=0,0,D107/Deal_Overview!$P$28)</f>
        <v>0</v>
      </c>
      <c r="H107" s="1133"/>
      <c r="I107" s="1134">
        <f>D107*0</f>
        <v>0</v>
      </c>
      <c r="J107" s="1135">
        <f t="shared" si="47"/>
        <v>0</v>
      </c>
      <c r="K107" s="1136">
        <f t="shared" si="47"/>
        <v>0</v>
      </c>
      <c r="L107" s="1135">
        <f>SUM(I107:K107)*Setup!$L$3</f>
        <v>0</v>
      </c>
      <c r="M107" s="1135">
        <f>I107*Setup!$L$19</f>
        <v>0</v>
      </c>
      <c r="N107" s="1138">
        <f>D107-SUM(I107:K107)</f>
        <v>0</v>
      </c>
      <c r="O107" s="1139"/>
      <c r="P107" s="1137"/>
      <c r="Q107" s="1135">
        <f t="shared" si="39"/>
        <v>0</v>
      </c>
      <c r="R107" s="1155">
        <f t="shared" si="40"/>
        <v>0</v>
      </c>
      <c r="S107" s="1140">
        <f>IF(SUM(I107:K107)&gt;0,(L107/SUM(I107:K107))*I107,0)</f>
        <v>0</v>
      </c>
      <c r="T107" s="1141">
        <f>IF(S107&gt;M107,0,(M107-S107)*Setup!$L$22)</f>
        <v>0</v>
      </c>
      <c r="U107" s="1141"/>
      <c r="V107" s="1141"/>
      <c r="W107" s="1141"/>
      <c r="X107" s="1141"/>
      <c r="Y107" s="1141"/>
      <c r="Z107" s="1141"/>
      <c r="AA107" s="1141"/>
      <c r="AB107" s="1141"/>
      <c r="AC107" s="1141"/>
      <c r="AD107" s="1141"/>
      <c r="AE107" s="1141"/>
      <c r="AF107" s="1141"/>
      <c r="AG107" s="1141"/>
      <c r="AH107" s="1141"/>
      <c r="AI107" s="1141"/>
      <c r="AJ107" s="1141"/>
      <c r="AK107" s="1141"/>
      <c r="AL107" s="1141"/>
      <c r="AM107" s="1141"/>
      <c r="AN107" s="1141"/>
      <c r="AO107" s="1141"/>
      <c r="AP107" s="1141"/>
      <c r="AQ107" s="1141"/>
      <c r="AR107" s="1141"/>
      <c r="AS107" s="1141"/>
      <c r="AT107" s="1141"/>
      <c r="AU107" s="1141"/>
      <c r="AV107" s="1141"/>
      <c r="AW107" s="1141"/>
      <c r="AX107" s="1141"/>
      <c r="AY107" s="1141"/>
      <c r="AZ107" s="1141"/>
      <c r="BA107" s="1141"/>
      <c r="BB107" s="1141"/>
      <c r="BC107" s="1141"/>
      <c r="BD107" s="1141"/>
      <c r="BE107" s="1141"/>
      <c r="BF107" s="1141"/>
      <c r="BG107" s="1141"/>
      <c r="BH107" s="1141"/>
      <c r="BI107" s="1141"/>
      <c r="BJ107" s="1141"/>
      <c r="BK107" s="1141"/>
      <c r="BL107" s="1141"/>
      <c r="BM107" s="1141"/>
      <c r="BN107" s="1141"/>
      <c r="BO107" s="1141"/>
      <c r="BP107" s="1141"/>
      <c r="BQ107" s="1141"/>
      <c r="BR107" s="1141"/>
      <c r="BS107" s="1141"/>
      <c r="BT107" s="1141"/>
      <c r="BU107" s="1141"/>
      <c r="BV107" s="1141"/>
      <c r="BW107" s="1141"/>
      <c r="BX107" s="1141"/>
      <c r="BY107" s="1141"/>
      <c r="BZ107" s="1141"/>
      <c r="CA107" s="1141"/>
      <c r="CB107" s="1141"/>
      <c r="CC107" s="1141"/>
      <c r="CD107" s="1141"/>
      <c r="CE107" s="1141"/>
      <c r="CF107" s="1141"/>
      <c r="CG107" s="1141"/>
      <c r="CH107" s="1141"/>
      <c r="CI107" s="1141"/>
      <c r="CJ107" s="1141"/>
      <c r="CK107" s="1141"/>
      <c r="CL107" s="1141"/>
      <c r="CM107" s="1141"/>
      <c r="CN107" s="1141"/>
      <c r="CO107" s="1141"/>
      <c r="CP107" s="1141"/>
    </row>
    <row r="108" spans="1:94" s="56" customFormat="1">
      <c r="A108" s="1146"/>
      <c r="B108" s="1919" t="s">
        <v>387</v>
      </c>
      <c r="C108" s="1919"/>
      <c r="D108" s="1147">
        <f>SUM(D104:D107)</f>
        <v>0</v>
      </c>
      <c r="E108" s="1148"/>
      <c r="F108" s="1149"/>
      <c r="G108" s="1147">
        <f>IF(Deal_Overview!$P$28=0,0,D108/Deal_Overview!$P$28)</f>
        <v>0</v>
      </c>
      <c r="H108" s="1150"/>
      <c r="I108" s="1151">
        <f t="shared" ref="I108:N108" si="48">SUM(I104:I107)</f>
        <v>0</v>
      </c>
      <c r="J108" s="1151">
        <f t="shared" si="48"/>
        <v>0</v>
      </c>
      <c r="K108" s="1151">
        <f t="shared" si="48"/>
        <v>0</v>
      </c>
      <c r="L108" s="1151">
        <f t="shared" si="48"/>
        <v>0</v>
      </c>
      <c r="M108" s="1151">
        <f t="shared" si="48"/>
        <v>0</v>
      </c>
      <c r="N108" s="1149">
        <f t="shared" si="48"/>
        <v>0</v>
      </c>
      <c r="O108" s="1153"/>
      <c r="P108" s="1151">
        <f>SUM(P104:P107)</f>
        <v>0</v>
      </c>
      <c r="Q108" s="1151">
        <f>SUM(Q104:Q107)</f>
        <v>0</v>
      </c>
      <c r="R108" s="1149">
        <f>SUM(R104:R107)</f>
        <v>0</v>
      </c>
      <c r="S108" s="1154"/>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row>
    <row r="109" spans="1:94">
      <c r="A109" s="1127">
        <v>94</v>
      </c>
      <c r="B109" s="1128"/>
      <c r="C109" s="1083" t="s">
        <v>388</v>
      </c>
      <c r="D109" s="1143">
        <f>ROUND(IF(F109=Lists!$D$5,E109,IF(F109=Lists!$D$6,E109*'Units&amp;Income'!$AV$94,IF(F109=Lists!$D$7,DevCosts!E109*Setup!$D$37,IF(F109=Lists!$D$8,E109*Setup!$D$38,IF(F109=Lists!$D$9,SUM((DevCosts!E109*DevCosts!$D$13),($D$48*E109)),0))))),0)</f>
        <v>0</v>
      </c>
      <c r="E109" s="1145">
        <v>0</v>
      </c>
      <c r="F109" s="1131" t="s">
        <v>273</v>
      </c>
      <c r="G109" s="1132">
        <f>IF(Deal_Overview!$P$28=0,0,D109/Deal_Overview!$P$28)</f>
        <v>0</v>
      </c>
      <c r="H109" s="1133"/>
      <c r="I109" s="1134">
        <f>D109*1</f>
        <v>0</v>
      </c>
      <c r="J109" s="1135">
        <f t="shared" ref="J109:K112" si="49">$D109*0</f>
        <v>0</v>
      </c>
      <c r="K109" s="1136">
        <f t="shared" si="49"/>
        <v>0</v>
      </c>
      <c r="L109" s="1135">
        <f>SUM(I109:K109)*Setup!$L$3</f>
        <v>0</v>
      </c>
      <c r="M109" s="1135">
        <f>I109*Setup!$L$19</f>
        <v>0</v>
      </c>
      <c r="N109" s="1138">
        <f>D109-SUM(I109:K109)</f>
        <v>0</v>
      </c>
      <c r="O109" s="1139"/>
      <c r="P109" s="1137"/>
      <c r="Q109" s="1135">
        <f t="shared" si="39"/>
        <v>0</v>
      </c>
      <c r="R109" s="1155">
        <f t="shared" si="40"/>
        <v>0</v>
      </c>
      <c r="S109" s="1140">
        <f>IF(SUM(I109:K109)&gt;0,(L109/SUM(I109:K109))*I109,0)</f>
        <v>0</v>
      </c>
      <c r="T109" s="1141">
        <f>IF(S109&gt;M109,0,(M109-S109)*Setup!$L$22)</f>
        <v>0</v>
      </c>
      <c r="U109" s="1141"/>
      <c r="V109" s="1141"/>
      <c r="W109" s="1141"/>
      <c r="X109" s="1141"/>
      <c r="Y109" s="1141"/>
      <c r="Z109" s="1141"/>
      <c r="AA109" s="1141"/>
      <c r="AB109" s="1141"/>
      <c r="AC109" s="1141"/>
      <c r="AD109" s="1141"/>
      <c r="AE109" s="1141"/>
      <c r="AF109" s="1141"/>
      <c r="AG109" s="1141"/>
      <c r="AH109" s="1141"/>
      <c r="AI109" s="1141"/>
      <c r="AJ109" s="1141"/>
      <c r="AK109" s="1141"/>
      <c r="AL109" s="1141"/>
      <c r="AM109" s="1141"/>
      <c r="AN109" s="1141"/>
      <c r="AO109" s="1141"/>
      <c r="AP109" s="1141"/>
      <c r="AQ109" s="1141"/>
      <c r="AR109" s="1141"/>
      <c r="AS109" s="1141"/>
      <c r="AT109" s="1141"/>
      <c r="AU109" s="1141"/>
      <c r="AV109" s="1141"/>
      <c r="AW109" s="1141"/>
      <c r="AX109" s="1141"/>
      <c r="AY109" s="1141"/>
      <c r="AZ109" s="1141"/>
      <c r="BA109" s="1141"/>
      <c r="BB109" s="1141"/>
      <c r="BC109" s="1141"/>
      <c r="BD109" s="1141"/>
      <c r="BE109" s="1141"/>
      <c r="BF109" s="1141"/>
      <c r="BG109" s="1141"/>
      <c r="BH109" s="1141"/>
      <c r="BI109" s="1141"/>
      <c r="BJ109" s="1141"/>
      <c r="BK109" s="1141"/>
      <c r="BL109" s="1141"/>
      <c r="BM109" s="1141"/>
      <c r="BN109" s="1141"/>
      <c r="BO109" s="1141"/>
      <c r="BP109" s="1141"/>
      <c r="BQ109" s="1141"/>
      <c r="BR109" s="1141"/>
      <c r="BS109" s="1141"/>
      <c r="BT109" s="1141"/>
      <c r="BU109" s="1141"/>
      <c r="BV109" s="1141"/>
      <c r="BW109" s="1141"/>
      <c r="BX109" s="1141"/>
      <c r="BY109" s="1141"/>
      <c r="BZ109" s="1141"/>
      <c r="CA109" s="1141"/>
      <c r="CB109" s="1141"/>
      <c r="CC109" s="1141"/>
      <c r="CD109" s="1141"/>
      <c r="CE109" s="1141"/>
      <c r="CF109" s="1141"/>
      <c r="CG109" s="1141"/>
      <c r="CH109" s="1141"/>
      <c r="CI109" s="1141"/>
      <c r="CJ109" s="1141"/>
      <c r="CK109" s="1141"/>
      <c r="CL109" s="1141"/>
      <c r="CM109" s="1141"/>
      <c r="CN109" s="1141"/>
      <c r="CO109" s="1141"/>
      <c r="CP109" s="1141"/>
    </row>
    <row r="110" spans="1:94">
      <c r="A110" s="1127">
        <v>95</v>
      </c>
      <c r="B110" s="1128"/>
      <c r="C110" s="1083" t="s">
        <v>389</v>
      </c>
      <c r="D110" s="1143">
        <f>ROUND(IF(F110=Lists!$D$5,E110,IF(F110=Lists!$D$6,E110*'Units&amp;Income'!$AV$94,IF(F110=Lists!$D$7,DevCosts!E110*Setup!$D$37,IF(F110=Lists!$D$8,E110*Setup!$D$38,IF(F110=Lists!$D$9,SUM((DevCosts!E110*DevCosts!$D$13),($D$48*E110)),0))))),0)</f>
        <v>0</v>
      </c>
      <c r="E110" s="1145">
        <v>0</v>
      </c>
      <c r="F110" s="1131" t="s">
        <v>273</v>
      </c>
      <c r="G110" s="1132">
        <f>IF(Deal_Overview!$P$28=0,0,D110/Deal_Overview!$P$28)</f>
        <v>0</v>
      </c>
      <c r="H110" s="1133"/>
      <c r="I110" s="1134">
        <f>D110*1</f>
        <v>0</v>
      </c>
      <c r="J110" s="1135">
        <f t="shared" si="49"/>
        <v>0</v>
      </c>
      <c r="K110" s="1136">
        <f t="shared" si="49"/>
        <v>0</v>
      </c>
      <c r="L110" s="1135">
        <f>SUM(I110:K110)*Setup!$L$3</f>
        <v>0</v>
      </c>
      <c r="M110" s="1135">
        <f>I110*Setup!$L$19</f>
        <v>0</v>
      </c>
      <c r="N110" s="1138">
        <f>D110-SUM(I110:K110)</f>
        <v>0</v>
      </c>
      <c r="O110" s="1139"/>
      <c r="P110" s="1137"/>
      <c r="Q110" s="1135">
        <f t="shared" si="39"/>
        <v>0</v>
      </c>
      <c r="R110" s="1155">
        <f t="shared" si="40"/>
        <v>0</v>
      </c>
      <c r="S110" s="1140">
        <f>IF(SUM(I110:K110)&gt;0,(L110/SUM(I110:K110))*I110,0)</f>
        <v>0</v>
      </c>
      <c r="T110" s="1141">
        <f>IF(S110&gt;M110,0,(M110-S110)*Setup!$L$22)</f>
        <v>0</v>
      </c>
      <c r="U110" s="1141"/>
      <c r="V110" s="1141"/>
      <c r="W110" s="1141"/>
      <c r="X110" s="1141"/>
      <c r="Y110" s="1141"/>
      <c r="Z110" s="1141"/>
      <c r="AA110" s="1141"/>
      <c r="AB110" s="1141"/>
      <c r="AC110" s="1141"/>
      <c r="AD110" s="1141"/>
      <c r="AE110" s="1141"/>
      <c r="AF110" s="1141"/>
      <c r="AG110" s="1141"/>
      <c r="AH110" s="1141"/>
      <c r="AI110" s="1141"/>
      <c r="AJ110" s="1141"/>
      <c r="AK110" s="1141"/>
      <c r="AL110" s="1141"/>
      <c r="AM110" s="1141"/>
      <c r="AN110" s="1141"/>
      <c r="AO110" s="1141"/>
      <c r="AP110" s="1141"/>
      <c r="AQ110" s="1141"/>
      <c r="AR110" s="1141"/>
      <c r="AS110" s="1141"/>
      <c r="AT110" s="1141"/>
      <c r="AU110" s="1141"/>
      <c r="AV110" s="1141"/>
      <c r="AW110" s="1141"/>
      <c r="AX110" s="1141"/>
      <c r="AY110" s="1141"/>
      <c r="AZ110" s="1141"/>
      <c r="BA110" s="1141"/>
      <c r="BB110" s="1141"/>
      <c r="BC110" s="1141"/>
      <c r="BD110" s="1141"/>
      <c r="BE110" s="1141"/>
      <c r="BF110" s="1141"/>
      <c r="BG110" s="1141"/>
      <c r="BH110" s="1141"/>
      <c r="BI110" s="1141"/>
      <c r="BJ110" s="1141"/>
      <c r="BK110" s="1141"/>
      <c r="BL110" s="1141"/>
      <c r="BM110" s="1141"/>
      <c r="BN110" s="1141"/>
      <c r="BO110" s="1141"/>
      <c r="BP110" s="1141"/>
      <c r="BQ110" s="1141"/>
      <c r="BR110" s="1141"/>
      <c r="BS110" s="1141"/>
      <c r="BT110" s="1141"/>
      <c r="BU110" s="1141"/>
      <c r="BV110" s="1141"/>
      <c r="BW110" s="1141"/>
      <c r="BX110" s="1141"/>
      <c r="BY110" s="1141"/>
      <c r="BZ110" s="1141"/>
      <c r="CA110" s="1141"/>
      <c r="CB110" s="1141"/>
      <c r="CC110" s="1141"/>
      <c r="CD110" s="1141"/>
      <c r="CE110" s="1141"/>
      <c r="CF110" s="1141"/>
      <c r="CG110" s="1141"/>
      <c r="CH110" s="1141"/>
      <c r="CI110" s="1141"/>
      <c r="CJ110" s="1141"/>
      <c r="CK110" s="1141"/>
      <c r="CL110" s="1141"/>
      <c r="CM110" s="1141"/>
      <c r="CN110" s="1141"/>
      <c r="CO110" s="1141"/>
      <c r="CP110" s="1141"/>
    </row>
    <row r="111" spans="1:94">
      <c r="A111" s="1127">
        <v>96</v>
      </c>
      <c r="B111" s="1128"/>
      <c r="C111" s="1083" t="s">
        <v>390</v>
      </c>
      <c r="D111" s="1143">
        <f>ROUND(IF(F111=Lists!$D$5,E111,IF(F111=Lists!$D$6,E111*'Units&amp;Income'!$AV$94,IF(F111=Lists!$D$7,DevCosts!E111*Setup!$D$37,IF(F111=Lists!$D$8,E111*Setup!$D$38,IF(F111=Lists!$D$9,SUM((DevCosts!E111*DevCosts!$D$13),($D$48*E111)),0))))),0)</f>
        <v>0</v>
      </c>
      <c r="E111" s="1145">
        <v>0</v>
      </c>
      <c r="F111" s="1131" t="s">
        <v>273</v>
      </c>
      <c r="G111" s="1132">
        <f>IF(Deal_Overview!$P$28=0,0,D111/Deal_Overview!$P$28)</f>
        <v>0</v>
      </c>
      <c r="H111" s="1133"/>
      <c r="I111" s="1134">
        <f>D111*1</f>
        <v>0</v>
      </c>
      <c r="J111" s="1135">
        <f t="shared" si="49"/>
        <v>0</v>
      </c>
      <c r="K111" s="1136">
        <f t="shared" si="49"/>
        <v>0</v>
      </c>
      <c r="L111" s="1135">
        <f>SUM(I111:K111)*Setup!$L$3</f>
        <v>0</v>
      </c>
      <c r="M111" s="1135">
        <f>I111*Setup!$L$19</f>
        <v>0</v>
      </c>
      <c r="N111" s="1138">
        <f>D111-SUM(I111:K111)</f>
        <v>0</v>
      </c>
      <c r="O111" s="1139"/>
      <c r="P111" s="1137"/>
      <c r="Q111" s="1135">
        <f t="shared" si="39"/>
        <v>0</v>
      </c>
      <c r="R111" s="1155">
        <f t="shared" si="40"/>
        <v>0</v>
      </c>
      <c r="S111" s="1140">
        <f>IF(SUM(I111:K111)&gt;0,(L111/SUM(I111:K111))*I111,0)</f>
        <v>0</v>
      </c>
      <c r="T111" s="1141">
        <f>IF(S111&gt;M111,0,(M111-S111)*Setup!$L$22)</f>
        <v>0</v>
      </c>
      <c r="U111" s="1141"/>
      <c r="V111" s="1141"/>
      <c r="W111" s="1141"/>
      <c r="X111" s="1141"/>
      <c r="Y111" s="1141"/>
      <c r="Z111" s="1141"/>
      <c r="AA111" s="1141"/>
      <c r="AB111" s="1141"/>
      <c r="AC111" s="1141"/>
      <c r="AD111" s="1141"/>
      <c r="AE111" s="1141"/>
      <c r="AF111" s="1141"/>
      <c r="AG111" s="1141"/>
      <c r="AH111" s="1141"/>
      <c r="AI111" s="1141"/>
      <c r="AJ111" s="1141"/>
      <c r="AK111" s="1141"/>
      <c r="AL111" s="1141"/>
      <c r="AM111" s="1141"/>
      <c r="AN111" s="1141"/>
      <c r="AO111" s="1141"/>
      <c r="AP111" s="1141"/>
      <c r="AQ111" s="1141"/>
      <c r="AR111" s="1141"/>
      <c r="AS111" s="1141"/>
      <c r="AT111" s="1141"/>
      <c r="AU111" s="1141"/>
      <c r="AV111" s="1141"/>
      <c r="AW111" s="1141"/>
      <c r="AX111" s="1141"/>
      <c r="AY111" s="1141"/>
      <c r="AZ111" s="1141"/>
      <c r="BA111" s="1141"/>
      <c r="BB111" s="1141"/>
      <c r="BC111" s="1141"/>
      <c r="BD111" s="1141"/>
      <c r="BE111" s="1141"/>
      <c r="BF111" s="1141"/>
      <c r="BG111" s="1141"/>
      <c r="BH111" s="1141"/>
      <c r="BI111" s="1141"/>
      <c r="BJ111" s="1141"/>
      <c r="BK111" s="1141"/>
      <c r="BL111" s="1141"/>
      <c r="BM111" s="1141"/>
      <c r="BN111" s="1141"/>
      <c r="BO111" s="1141"/>
      <c r="BP111" s="1141"/>
      <c r="BQ111" s="1141"/>
      <c r="BR111" s="1141"/>
      <c r="BS111" s="1141"/>
      <c r="BT111" s="1141"/>
      <c r="BU111" s="1141"/>
      <c r="BV111" s="1141"/>
      <c r="BW111" s="1141"/>
      <c r="BX111" s="1141"/>
      <c r="BY111" s="1141"/>
      <c r="BZ111" s="1141"/>
      <c r="CA111" s="1141"/>
      <c r="CB111" s="1141"/>
      <c r="CC111" s="1141"/>
      <c r="CD111" s="1141"/>
      <c r="CE111" s="1141"/>
      <c r="CF111" s="1141"/>
      <c r="CG111" s="1141"/>
      <c r="CH111" s="1141"/>
      <c r="CI111" s="1141"/>
      <c r="CJ111" s="1141"/>
      <c r="CK111" s="1141"/>
      <c r="CL111" s="1141"/>
      <c r="CM111" s="1141"/>
      <c r="CN111" s="1141"/>
      <c r="CO111" s="1141"/>
      <c r="CP111" s="1141"/>
    </row>
    <row r="112" spans="1:94">
      <c r="A112" s="1127">
        <v>97</v>
      </c>
      <c r="B112" s="1128"/>
      <c r="C112" s="1083" t="s">
        <v>391</v>
      </c>
      <c r="D112" s="1143">
        <f>ROUND(IF(F112=Lists!$D$5,E112,IF(F112=Lists!$D$6,E112*'Units&amp;Income'!$AV$94,IF(F112=Lists!$D$7,DevCosts!E112*Setup!$D$37,IF(F112=Lists!$D$8,E112*Setup!$D$38,IF(F112=Lists!$D$9,SUM((DevCosts!E112*DevCosts!$D$13),($D$48*E112)),0))))),0)</f>
        <v>0</v>
      </c>
      <c r="E112" s="1145">
        <v>0</v>
      </c>
      <c r="F112" s="1131" t="s">
        <v>273</v>
      </c>
      <c r="G112" s="1132">
        <f>IF(Deal_Overview!$P$28=0,0,D112/Deal_Overview!$P$28)</f>
        <v>0</v>
      </c>
      <c r="H112" s="1133"/>
      <c r="I112" s="1134">
        <f>D112*0</f>
        <v>0</v>
      </c>
      <c r="J112" s="1135">
        <f t="shared" si="49"/>
        <v>0</v>
      </c>
      <c r="K112" s="1136">
        <f t="shared" si="49"/>
        <v>0</v>
      </c>
      <c r="L112" s="1135">
        <f>SUM(I112:K112)*Setup!$L$3</f>
        <v>0</v>
      </c>
      <c r="M112" s="1135">
        <f>I112*Setup!$L$19</f>
        <v>0</v>
      </c>
      <c r="N112" s="1138">
        <f>D112-SUM(I112:K112)</f>
        <v>0</v>
      </c>
      <c r="O112" s="1139"/>
      <c r="P112" s="1137"/>
      <c r="Q112" s="1135">
        <f t="shared" si="39"/>
        <v>0</v>
      </c>
      <c r="R112" s="1155">
        <f t="shared" si="40"/>
        <v>0</v>
      </c>
      <c r="S112" s="1140">
        <f>IF(SUM(I112:K112)&gt;0,(L112/SUM(I112:K112))*I112,0)</f>
        <v>0</v>
      </c>
      <c r="T112" s="1141">
        <f>IF(S112&gt;M112,0,(M112-S112)*Setup!$L$22)</f>
        <v>0</v>
      </c>
      <c r="U112" s="1141"/>
      <c r="V112" s="1141"/>
      <c r="W112" s="1141"/>
      <c r="X112" s="1141"/>
      <c r="Y112" s="1141"/>
      <c r="Z112" s="1141"/>
      <c r="AA112" s="1141"/>
      <c r="AB112" s="1141"/>
      <c r="AC112" s="1141"/>
      <c r="AD112" s="1141"/>
      <c r="AE112" s="1141"/>
      <c r="AF112" s="1141"/>
      <c r="AG112" s="1141"/>
      <c r="AH112" s="1141"/>
      <c r="AI112" s="1141"/>
      <c r="AJ112" s="1141"/>
      <c r="AK112" s="1141"/>
      <c r="AL112" s="1141"/>
      <c r="AM112" s="1141"/>
      <c r="AN112" s="1141"/>
      <c r="AO112" s="1141"/>
      <c r="AP112" s="1141"/>
      <c r="AQ112" s="1141"/>
      <c r="AR112" s="1141"/>
      <c r="AS112" s="1141"/>
      <c r="AT112" s="1141"/>
      <c r="AU112" s="1141"/>
      <c r="AV112" s="1141"/>
      <c r="AW112" s="1141"/>
      <c r="AX112" s="1141"/>
      <c r="AY112" s="1141"/>
      <c r="AZ112" s="1141"/>
      <c r="BA112" s="1141"/>
      <c r="BB112" s="1141"/>
      <c r="BC112" s="1141"/>
      <c r="BD112" s="1141"/>
      <c r="BE112" s="1141"/>
      <c r="BF112" s="1141"/>
      <c r="BG112" s="1141"/>
      <c r="BH112" s="1141"/>
      <c r="BI112" s="1141"/>
      <c r="BJ112" s="1141"/>
      <c r="BK112" s="1141"/>
      <c r="BL112" s="1141"/>
      <c r="BM112" s="1141"/>
      <c r="BN112" s="1141"/>
      <c r="BO112" s="1141"/>
      <c r="BP112" s="1141"/>
      <c r="BQ112" s="1141"/>
      <c r="BR112" s="1141"/>
      <c r="BS112" s="1141"/>
      <c r="BT112" s="1141"/>
      <c r="BU112" s="1141"/>
      <c r="BV112" s="1141"/>
      <c r="BW112" s="1141"/>
      <c r="BX112" s="1141"/>
      <c r="BY112" s="1141"/>
      <c r="BZ112" s="1141"/>
      <c r="CA112" s="1141"/>
      <c r="CB112" s="1141"/>
      <c r="CC112" s="1141"/>
      <c r="CD112" s="1141"/>
      <c r="CE112" s="1141"/>
      <c r="CF112" s="1141"/>
      <c r="CG112" s="1141"/>
      <c r="CH112" s="1141"/>
      <c r="CI112" s="1141"/>
      <c r="CJ112" s="1141"/>
      <c r="CK112" s="1141"/>
      <c r="CL112" s="1141"/>
      <c r="CM112" s="1141"/>
      <c r="CN112" s="1141"/>
      <c r="CO112" s="1141"/>
      <c r="CP112" s="1141"/>
    </row>
    <row r="113" spans="1:94" s="56" customFormat="1">
      <c r="A113" s="1146"/>
      <c r="B113" s="1919" t="s">
        <v>392</v>
      </c>
      <c r="C113" s="1919"/>
      <c r="D113" s="1147">
        <f>SUM(D109:D112)</f>
        <v>0</v>
      </c>
      <c r="E113" s="1148"/>
      <c r="F113" s="1149"/>
      <c r="G113" s="1147">
        <f>IF(Deal_Overview!$P$28=0,0,D113/Deal_Overview!$P$28)</f>
        <v>0</v>
      </c>
      <c r="H113" s="1150"/>
      <c r="I113" s="1149">
        <f t="shared" ref="I113:N113" si="50">SUM(I109:I112)</f>
        <v>0</v>
      </c>
      <c r="J113" s="1149">
        <f t="shared" si="50"/>
        <v>0</v>
      </c>
      <c r="K113" s="1149">
        <f t="shared" si="50"/>
        <v>0</v>
      </c>
      <c r="L113" s="1149">
        <f t="shared" si="50"/>
        <v>0</v>
      </c>
      <c r="M113" s="1149">
        <f t="shared" si="50"/>
        <v>0</v>
      </c>
      <c r="N113" s="1149">
        <f t="shared" si="50"/>
        <v>0</v>
      </c>
      <c r="O113" s="1153"/>
      <c r="P113" s="1149">
        <f>SUM(P109:P112)</f>
        <v>0</v>
      </c>
      <c r="Q113" s="1149">
        <f>SUM(Q109:Q112)</f>
        <v>0</v>
      </c>
      <c r="R113" s="1149">
        <f>SUM(R109:R112)</f>
        <v>0</v>
      </c>
      <c r="S113" s="1154"/>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row>
    <row r="114" spans="1:94">
      <c r="A114" s="1127">
        <v>98</v>
      </c>
      <c r="B114" s="1128"/>
      <c r="C114" s="1083" t="s">
        <v>393</v>
      </c>
      <c r="D114" s="1143">
        <f ca="1">ROUND(IF(F114=Lists!$D$5,E114,IF(F114=Lists!$D$6,E114*'Units&amp;Income'!$AV$94,IF(F114=Lists!$D$7,DevCosts!E114*Setup!$D$37,IF(F114=Lists!$D$8,E114*Setup!$D$38,IF(F114=Lists!$D$9,SUM((DevCosts!E114*DevCosts!$D$13),($D$48*E114)),0))))),0)</f>
        <v>0</v>
      </c>
      <c r="E114" s="1161">
        <f ca="1">MIN(U114,U115)</f>
        <v>0</v>
      </c>
      <c r="F114" s="1135" t="s">
        <v>273</v>
      </c>
      <c r="G114" s="1132">
        <f>IF(Deal_Overview!$P$28=0,0,D114/Deal_Overview!$P$28)</f>
        <v>0</v>
      </c>
      <c r="H114" s="1133"/>
      <c r="I114" s="1134">
        <f ca="1">D114*1</f>
        <v>0</v>
      </c>
      <c r="J114" s="1135">
        <f t="shared" ref="J114:K118" ca="1" si="51">$D114*0</f>
        <v>0</v>
      </c>
      <c r="K114" s="1136">
        <f t="shared" ca="1" si="51"/>
        <v>0</v>
      </c>
      <c r="L114" s="1135">
        <f ca="1">SUM(I114:K114)*Setup!$L$3</f>
        <v>0</v>
      </c>
      <c r="M114" s="1135">
        <f ca="1">I114*Setup!$L$19</f>
        <v>0</v>
      </c>
      <c r="N114" s="1138">
        <f ca="1">D114-SUM(I114:K114)</f>
        <v>0</v>
      </c>
      <c r="O114" s="1139"/>
      <c r="P114" s="1137"/>
      <c r="Q114" s="1135">
        <f t="shared" ca="1" si="39"/>
        <v>0</v>
      </c>
      <c r="R114" s="1155">
        <f t="shared" ca="1" si="40"/>
        <v>0</v>
      </c>
      <c r="S114" s="1140">
        <f ca="1">IF(SUM(I114:K114)&gt;0,(L114/SUM(I114:K114))*I114,0)</f>
        <v>0</v>
      </c>
      <c r="T114" s="1141">
        <f ca="1">IF(S114&gt;M114,0,(M114-S114)*Setup!$L$22)</f>
        <v>0</v>
      </c>
      <c r="U114" s="1162">
        <f ca="1">MIN(2500000,IF(D113+D108+D103+D97+D80+D58+D47+D39+D31+D19+D12+D127+D132&lt;5000000,(D113+D108+D103+D97+D80+D58+D47+D39+D31+D19+D12+D127+D132)*0.1,(D113+D108+D103+D97+D80+D58+D47+D39+D31+D19+D12+D127+D132-5000000)*0.05+500000))</f>
        <v>0</v>
      </c>
      <c r="V114" s="1141"/>
      <c r="W114" s="1141"/>
      <c r="X114" s="1141"/>
      <c r="Y114" s="1141"/>
      <c r="Z114" s="1141"/>
      <c r="AA114" s="1141"/>
      <c r="AB114" s="1141"/>
      <c r="AC114" s="1141"/>
      <c r="AD114" s="1141"/>
      <c r="AE114" s="1141"/>
      <c r="AF114" s="1141"/>
      <c r="AG114" s="1141"/>
      <c r="AH114" s="1141"/>
      <c r="AI114" s="1141"/>
      <c r="AJ114" s="1141"/>
      <c r="AK114" s="1141"/>
      <c r="AL114" s="1141"/>
      <c r="AM114" s="1141"/>
      <c r="AN114" s="1141"/>
      <c r="AO114" s="1141"/>
      <c r="AP114" s="1141"/>
      <c r="AQ114" s="1141"/>
      <c r="AR114" s="1141"/>
      <c r="AS114" s="1141"/>
      <c r="AT114" s="1141"/>
      <c r="AU114" s="1141"/>
      <c r="AV114" s="1141"/>
      <c r="AW114" s="1141"/>
      <c r="AX114" s="1141"/>
      <c r="AY114" s="1141"/>
      <c r="AZ114" s="1141"/>
      <c r="BA114" s="1141"/>
      <c r="BB114" s="1141"/>
      <c r="BC114" s="1141"/>
      <c r="BD114" s="1141"/>
      <c r="BE114" s="1141"/>
      <c r="BF114" s="1141"/>
      <c r="BG114" s="1141"/>
      <c r="BH114" s="1141"/>
      <c r="BI114" s="1141"/>
      <c r="BJ114" s="1141"/>
      <c r="BK114" s="1141"/>
      <c r="BL114" s="1141"/>
      <c r="BM114" s="1141"/>
      <c r="BN114" s="1141"/>
      <c r="BO114" s="1141"/>
      <c r="BP114" s="1141"/>
      <c r="BQ114" s="1141"/>
      <c r="BR114" s="1141"/>
      <c r="BS114" s="1141"/>
      <c r="BT114" s="1141"/>
      <c r="BU114" s="1141"/>
      <c r="BV114" s="1141"/>
      <c r="BW114" s="1141"/>
      <c r="BX114" s="1141"/>
      <c r="BY114" s="1141"/>
      <c r="BZ114" s="1141"/>
      <c r="CA114" s="1141"/>
      <c r="CB114" s="1141"/>
      <c r="CC114" s="1141"/>
      <c r="CD114" s="1141"/>
      <c r="CE114" s="1141"/>
      <c r="CF114" s="1141"/>
      <c r="CG114" s="1141"/>
      <c r="CH114" s="1141"/>
      <c r="CI114" s="1141"/>
      <c r="CJ114" s="1141"/>
      <c r="CK114" s="1141"/>
      <c r="CL114" s="1141"/>
      <c r="CM114" s="1141"/>
      <c r="CN114" s="1141"/>
      <c r="CO114" s="1141"/>
      <c r="CP114" s="1141"/>
    </row>
    <row r="115" spans="1:94">
      <c r="A115" s="1127">
        <v>99</v>
      </c>
      <c r="B115" s="1128"/>
      <c r="C115" s="1083" t="s">
        <v>394</v>
      </c>
      <c r="D115" s="1143">
        <f>ROUND(IF(F115=Lists!$D$5,E115,IF(F115=Lists!$D$6,E115*'Units&amp;Income'!$AV$94,IF(F115=Lists!$D$7,DevCosts!E115*Setup!$D$37,IF(F115=Lists!$D$8,E115*Setup!$D$38,IF(F115=Lists!$D$9,SUM((DevCosts!E115*DevCosts!$D$13),($D$48*E115)),0))))),0)</f>
        <v>0</v>
      </c>
      <c r="E115" s="1145">
        <v>0</v>
      </c>
      <c r="F115" s="1131" t="s">
        <v>273</v>
      </c>
      <c r="G115" s="1132">
        <f>IF(Deal_Overview!$P$28=0,0,D115/Deal_Overview!$P$28)</f>
        <v>0</v>
      </c>
      <c r="H115" s="1133"/>
      <c r="I115" s="1134">
        <f>D115*1</f>
        <v>0</v>
      </c>
      <c r="J115" s="1135">
        <f t="shared" si="51"/>
        <v>0</v>
      </c>
      <c r="K115" s="1136">
        <f t="shared" si="51"/>
        <v>0</v>
      </c>
      <c r="L115" s="1135">
        <f>SUM(I115:K115)*Setup!$L$3</f>
        <v>0</v>
      </c>
      <c r="M115" s="1135">
        <f>I115*Setup!$L$19</f>
        <v>0</v>
      </c>
      <c r="N115" s="1138">
        <f>D115-SUM(I115:K115)</f>
        <v>0</v>
      </c>
      <c r="O115" s="1139"/>
      <c r="P115" s="1137"/>
      <c r="Q115" s="1135">
        <f t="shared" si="39"/>
        <v>0</v>
      </c>
      <c r="R115" s="1155">
        <f t="shared" si="40"/>
        <v>0</v>
      </c>
      <c r="S115" s="1140">
        <f>IF(SUM(I115:K115)&gt;0,(L115/SUM(I115:K115))*I115,0)</f>
        <v>0</v>
      </c>
      <c r="T115" s="1141">
        <f>IF(S115&gt;M115,0,(M115-S115)*Setup!$L$22)</f>
        <v>0</v>
      </c>
      <c r="U115" s="1162">
        <f ca="1">SUM(D12,D19,D31,D39,D47,D58,D80,D97,D103,D108,D113,D127,D132)*0.06</f>
        <v>0</v>
      </c>
      <c r="V115" s="1141"/>
      <c r="W115" s="1141"/>
      <c r="X115" s="1141"/>
      <c r="Y115" s="1141"/>
      <c r="Z115" s="1141"/>
      <c r="AA115" s="1141"/>
      <c r="AB115" s="1141"/>
      <c r="AC115" s="1141"/>
      <c r="AD115" s="1141"/>
      <c r="AE115" s="1141"/>
      <c r="AF115" s="1141"/>
      <c r="AG115" s="1141"/>
      <c r="AH115" s="1141"/>
      <c r="AI115" s="1141"/>
      <c r="AJ115" s="1141"/>
      <c r="AK115" s="1141"/>
      <c r="AL115" s="1141"/>
      <c r="AM115" s="1141"/>
      <c r="AN115" s="1141"/>
      <c r="AO115" s="1141"/>
      <c r="AP115" s="1141"/>
      <c r="AQ115" s="1141"/>
      <c r="AR115" s="1141"/>
      <c r="AS115" s="1141"/>
      <c r="AT115" s="1141"/>
      <c r="AU115" s="1141"/>
      <c r="AV115" s="1141"/>
      <c r="AW115" s="1141"/>
      <c r="AX115" s="1141"/>
      <c r="AY115" s="1141"/>
      <c r="AZ115" s="1141"/>
      <c r="BA115" s="1141"/>
      <c r="BB115" s="1141"/>
      <c r="BC115" s="1141"/>
      <c r="BD115" s="1141"/>
      <c r="BE115" s="1141"/>
      <c r="BF115" s="1141"/>
      <c r="BG115" s="1141"/>
      <c r="BH115" s="1141"/>
      <c r="BI115" s="1141"/>
      <c r="BJ115" s="1141"/>
      <c r="BK115" s="1141"/>
      <c r="BL115" s="1141"/>
      <c r="BM115" s="1141"/>
      <c r="BN115" s="1141"/>
      <c r="BO115" s="1141"/>
      <c r="BP115" s="1141"/>
      <c r="BQ115" s="1141"/>
      <c r="BR115" s="1141"/>
      <c r="BS115" s="1141"/>
      <c r="BT115" s="1141"/>
      <c r="BU115" s="1141"/>
      <c r="BV115" s="1141"/>
      <c r="BW115" s="1141"/>
      <c r="BX115" s="1141"/>
      <c r="BY115" s="1141"/>
      <c r="BZ115" s="1141"/>
      <c r="CA115" s="1141"/>
      <c r="CB115" s="1141"/>
      <c r="CC115" s="1141"/>
      <c r="CD115" s="1141"/>
      <c r="CE115" s="1141"/>
      <c r="CF115" s="1141"/>
      <c r="CG115" s="1141"/>
      <c r="CH115" s="1141"/>
      <c r="CI115" s="1141"/>
      <c r="CJ115" s="1141"/>
      <c r="CK115" s="1141"/>
      <c r="CL115" s="1141"/>
      <c r="CM115" s="1141"/>
      <c r="CN115" s="1141"/>
      <c r="CO115" s="1141"/>
      <c r="CP115" s="1141"/>
    </row>
    <row r="116" spans="1:94">
      <c r="A116" s="1127">
        <v>100</v>
      </c>
      <c r="B116" s="1128"/>
      <c r="C116" s="1083" t="s">
        <v>395</v>
      </c>
      <c r="D116" s="1143">
        <f>ROUND(IF(F116=Lists!$D$5,E116,IF(F116=Lists!$D$6,E116*'Units&amp;Income'!$AV$94,IF(F116=Lists!$D$7,DevCosts!E116*Setup!$D$37,IF(F116=Lists!$D$8,E116*Setup!$D$38,IF(F116=Lists!$D$9,SUM((DevCosts!E116*DevCosts!$D$13),($D$48*E116)),0))))),0)</f>
        <v>0</v>
      </c>
      <c r="E116" s="1145">
        <v>0</v>
      </c>
      <c r="F116" s="1131" t="s">
        <v>273</v>
      </c>
      <c r="G116" s="1132">
        <f>IF(Deal_Overview!$P$28=0,0,D116/Deal_Overview!$P$28)</f>
        <v>0</v>
      </c>
      <c r="H116" s="1133"/>
      <c r="I116" s="1134">
        <f>D116*1</f>
        <v>0</v>
      </c>
      <c r="J116" s="1135">
        <f t="shared" si="51"/>
        <v>0</v>
      </c>
      <c r="K116" s="1136">
        <f t="shared" si="51"/>
        <v>0</v>
      </c>
      <c r="L116" s="1135">
        <f>SUM(I116:K116)*Setup!$L$3</f>
        <v>0</v>
      </c>
      <c r="M116" s="1135">
        <f>I116*Setup!$L$19</f>
        <v>0</v>
      </c>
      <c r="N116" s="1138">
        <f>D116-SUM(I116:K116)</f>
        <v>0</v>
      </c>
      <c r="O116" s="1139"/>
      <c r="P116" s="1137"/>
      <c r="Q116" s="1135">
        <f t="shared" si="39"/>
        <v>0</v>
      </c>
      <c r="R116" s="1155">
        <f t="shared" si="40"/>
        <v>0</v>
      </c>
      <c r="S116" s="1140">
        <f>IF(SUM(I116:K116)&gt;0,(L116/SUM(I116:K116))*I116,0)</f>
        <v>0</v>
      </c>
      <c r="T116" s="1141">
        <f>IF(S116&gt;M116,0,(M116-S116)*Setup!$L$22)</f>
        <v>0</v>
      </c>
      <c r="U116" s="1141"/>
      <c r="V116" s="1141"/>
      <c r="W116" s="1141"/>
      <c r="X116" s="1141"/>
      <c r="Y116" s="1141"/>
      <c r="Z116" s="1141"/>
      <c r="AA116" s="1141"/>
      <c r="AB116" s="1141"/>
      <c r="AC116" s="1141"/>
      <c r="AD116" s="1141"/>
      <c r="AE116" s="1141"/>
      <c r="AF116" s="1141"/>
      <c r="AG116" s="1141"/>
      <c r="AH116" s="1141"/>
      <c r="AI116" s="1141"/>
      <c r="AJ116" s="1141"/>
      <c r="AK116" s="1141"/>
      <c r="AL116" s="1141"/>
      <c r="AM116" s="1141"/>
      <c r="AN116" s="1141"/>
      <c r="AO116" s="1141"/>
      <c r="AP116" s="1141"/>
      <c r="AQ116" s="1141"/>
      <c r="AR116" s="1141"/>
      <c r="AS116" s="1141"/>
      <c r="AT116" s="1141"/>
      <c r="AU116" s="1141"/>
      <c r="AV116" s="1141"/>
      <c r="AW116" s="1141"/>
      <c r="AX116" s="1141"/>
      <c r="AY116" s="1141"/>
      <c r="AZ116" s="1141"/>
      <c r="BA116" s="1141"/>
      <c r="BB116" s="1141"/>
      <c r="BC116" s="1141"/>
      <c r="BD116" s="1141"/>
      <c r="BE116" s="1141"/>
      <c r="BF116" s="1141"/>
      <c r="BG116" s="1141"/>
      <c r="BH116" s="1141"/>
      <c r="BI116" s="1141"/>
      <c r="BJ116" s="1141"/>
      <c r="BK116" s="1141"/>
      <c r="BL116" s="1141"/>
      <c r="BM116" s="1141"/>
      <c r="BN116" s="1141"/>
      <c r="BO116" s="1141"/>
      <c r="BP116" s="1141"/>
      <c r="BQ116" s="1141"/>
      <c r="BR116" s="1141"/>
      <c r="BS116" s="1141"/>
      <c r="BT116" s="1141"/>
      <c r="BU116" s="1141"/>
      <c r="BV116" s="1141"/>
      <c r="BW116" s="1141"/>
      <c r="BX116" s="1141"/>
      <c r="BY116" s="1141"/>
      <c r="BZ116" s="1141"/>
      <c r="CA116" s="1141"/>
      <c r="CB116" s="1141"/>
      <c r="CC116" s="1141"/>
      <c r="CD116" s="1141"/>
      <c r="CE116" s="1141"/>
      <c r="CF116" s="1141"/>
      <c r="CG116" s="1141"/>
      <c r="CH116" s="1141"/>
      <c r="CI116" s="1141"/>
      <c r="CJ116" s="1141"/>
      <c r="CK116" s="1141"/>
      <c r="CL116" s="1141"/>
      <c r="CM116" s="1141"/>
      <c r="CN116" s="1141"/>
      <c r="CO116" s="1141"/>
      <c r="CP116" s="1141"/>
    </row>
    <row r="117" spans="1:94">
      <c r="A117" s="1127">
        <v>101</v>
      </c>
      <c r="B117" s="1128"/>
      <c r="C117" s="1083" t="s">
        <v>396</v>
      </c>
      <c r="D117" s="1143">
        <f>ROUND(IF(F117=Lists!$D$5,E117,IF(F117=Lists!$D$6,E117*'Units&amp;Income'!$AV$94,IF(F117=Lists!$D$7,DevCosts!E117*Setup!$D$37,IF(F117=Lists!$D$8,E117*Setup!$D$38,IF(F117=Lists!$D$9,SUM((DevCosts!E117*DevCosts!$D$13),($D$48*E117)),0))))),0)</f>
        <v>0</v>
      </c>
      <c r="E117" s="1145">
        <v>0</v>
      </c>
      <c r="F117" s="1131" t="s">
        <v>273</v>
      </c>
      <c r="G117" s="1132">
        <f>IF(Deal_Overview!$P$28=0,0,D117/Deal_Overview!$P$28)</f>
        <v>0</v>
      </c>
      <c r="H117" s="1133"/>
      <c r="I117" s="1134">
        <f>D117*1</f>
        <v>0</v>
      </c>
      <c r="J117" s="1135">
        <f t="shared" si="51"/>
        <v>0</v>
      </c>
      <c r="K117" s="1136">
        <f t="shared" si="51"/>
        <v>0</v>
      </c>
      <c r="L117" s="1135">
        <f>SUM(I117:K117)*Setup!$L$3</f>
        <v>0</v>
      </c>
      <c r="M117" s="1135">
        <f>I117*Setup!$L$19</f>
        <v>0</v>
      </c>
      <c r="N117" s="1138">
        <f>D117-SUM(I117:K117)</f>
        <v>0</v>
      </c>
      <c r="O117" s="1139"/>
      <c r="P117" s="1137"/>
      <c r="Q117" s="1135">
        <f t="shared" si="39"/>
        <v>0</v>
      </c>
      <c r="R117" s="1155">
        <f t="shared" si="40"/>
        <v>0</v>
      </c>
      <c r="S117" s="1140">
        <f>IF(SUM(I117:K117)&gt;0,(L117/SUM(I117:K117))*I117,0)</f>
        <v>0</v>
      </c>
      <c r="T117" s="1141">
        <f>IF(S117&gt;M117,0,(M117-S117)*Setup!$L$22)</f>
        <v>0</v>
      </c>
      <c r="U117" s="1141"/>
      <c r="V117" s="1141"/>
      <c r="W117" s="1141"/>
      <c r="X117" s="1141"/>
      <c r="Y117" s="1141"/>
      <c r="Z117" s="1141"/>
      <c r="AA117" s="1141"/>
      <c r="AB117" s="1141"/>
      <c r="AC117" s="1141"/>
      <c r="AD117" s="1141"/>
      <c r="AE117" s="1141"/>
      <c r="AF117" s="1141"/>
      <c r="AG117" s="1141"/>
      <c r="AH117" s="1141"/>
      <c r="AI117" s="1141"/>
      <c r="AJ117" s="1141"/>
      <c r="AK117" s="1141"/>
      <c r="AL117" s="1141"/>
      <c r="AM117" s="1141"/>
      <c r="AN117" s="1141"/>
      <c r="AO117" s="1141"/>
      <c r="AP117" s="1141"/>
      <c r="AQ117" s="1141"/>
      <c r="AR117" s="1141"/>
      <c r="AS117" s="1141"/>
      <c r="AT117" s="1141"/>
      <c r="AU117" s="1141"/>
      <c r="AV117" s="1141"/>
      <c r="AW117" s="1141"/>
      <c r="AX117" s="1141"/>
      <c r="AY117" s="1141"/>
      <c r="AZ117" s="1141"/>
      <c r="BA117" s="1141"/>
      <c r="BB117" s="1141"/>
      <c r="BC117" s="1141"/>
      <c r="BD117" s="1141"/>
      <c r="BE117" s="1141"/>
      <c r="BF117" s="1141"/>
      <c r="BG117" s="1141"/>
      <c r="BH117" s="1141"/>
      <c r="BI117" s="1141"/>
      <c r="BJ117" s="1141"/>
      <c r="BK117" s="1141"/>
      <c r="BL117" s="1141"/>
      <c r="BM117" s="1141"/>
      <c r="BN117" s="1141"/>
      <c r="BO117" s="1141"/>
      <c r="BP117" s="1141"/>
      <c r="BQ117" s="1141"/>
      <c r="BR117" s="1141"/>
      <c r="BS117" s="1141"/>
      <c r="BT117" s="1141"/>
      <c r="BU117" s="1141"/>
      <c r="BV117" s="1141"/>
      <c r="BW117" s="1141"/>
      <c r="BX117" s="1141"/>
      <c r="BY117" s="1141"/>
      <c r="BZ117" s="1141"/>
      <c r="CA117" s="1141"/>
      <c r="CB117" s="1141"/>
      <c r="CC117" s="1141"/>
      <c r="CD117" s="1141"/>
      <c r="CE117" s="1141"/>
      <c r="CF117" s="1141"/>
      <c r="CG117" s="1141"/>
      <c r="CH117" s="1141"/>
      <c r="CI117" s="1141"/>
      <c r="CJ117" s="1141"/>
      <c r="CK117" s="1141"/>
      <c r="CL117" s="1141"/>
      <c r="CM117" s="1141"/>
      <c r="CN117" s="1141"/>
      <c r="CO117" s="1141"/>
      <c r="CP117" s="1141"/>
    </row>
    <row r="118" spans="1:94">
      <c r="A118" s="1127">
        <v>102</v>
      </c>
      <c r="B118" s="1128"/>
      <c r="C118" s="1083" t="s">
        <v>397</v>
      </c>
      <c r="D118" s="1143">
        <f>ROUND(IF(F118=Lists!$D$5,E118,IF(F118=Lists!$D$6,E118*'Units&amp;Income'!$AV$94,IF(F118=Lists!$D$7,DevCosts!E118*Setup!$D$37,IF(F118=Lists!$D$8,E118*Setup!$D$38,IF(F118=Lists!$D$9,SUM((DevCosts!E118*DevCosts!$D$13),($D$48*E118)),0))))),0)</f>
        <v>0</v>
      </c>
      <c r="E118" s="1145">
        <v>0</v>
      </c>
      <c r="F118" s="1131" t="s">
        <v>273</v>
      </c>
      <c r="G118" s="1132">
        <f>IF(Deal_Overview!$P$28=0,0,D118/Deal_Overview!$P$28)</f>
        <v>0</v>
      </c>
      <c r="H118" s="1133"/>
      <c r="I118" s="1134">
        <f>D118*0</f>
        <v>0</v>
      </c>
      <c r="J118" s="1135">
        <f t="shared" si="51"/>
        <v>0</v>
      </c>
      <c r="K118" s="1136">
        <f t="shared" si="51"/>
        <v>0</v>
      </c>
      <c r="L118" s="1135">
        <f>SUM(I118:K118)*Setup!$L$3</f>
        <v>0</v>
      </c>
      <c r="M118" s="1135">
        <f>I118*Setup!$L$19</f>
        <v>0</v>
      </c>
      <c r="N118" s="1138">
        <f>D118-SUM(I118:K118)</f>
        <v>0</v>
      </c>
      <c r="O118" s="1139"/>
      <c r="P118" s="1137"/>
      <c r="Q118" s="1135">
        <f t="shared" si="39"/>
        <v>0</v>
      </c>
      <c r="R118" s="1155">
        <f t="shared" si="40"/>
        <v>0</v>
      </c>
      <c r="S118" s="1140">
        <f>IF(SUM(I118:K118)&gt;0,(L118/SUM(I118:K118))*I118,0)</f>
        <v>0</v>
      </c>
      <c r="T118" s="1141">
        <f>IF(S118&gt;M118,0,(M118-S118)*Setup!$L$22)</f>
        <v>0</v>
      </c>
      <c r="U118" s="1141"/>
      <c r="V118" s="1141"/>
      <c r="W118" s="1141"/>
      <c r="X118" s="1141"/>
      <c r="Y118" s="1141"/>
      <c r="Z118" s="1141"/>
      <c r="AA118" s="1141"/>
      <c r="AB118" s="1141"/>
      <c r="AC118" s="1141"/>
      <c r="AD118" s="1141"/>
      <c r="AE118" s="1141"/>
      <c r="AF118" s="1141"/>
      <c r="AG118" s="1141"/>
      <c r="AH118" s="1141"/>
      <c r="AI118" s="1141"/>
      <c r="AJ118" s="1141"/>
      <c r="AK118" s="1141"/>
      <c r="AL118" s="1141"/>
      <c r="AM118" s="1141"/>
      <c r="AN118" s="1141"/>
      <c r="AO118" s="1141"/>
      <c r="AP118" s="1141"/>
      <c r="AQ118" s="1141"/>
      <c r="AR118" s="1141"/>
      <c r="AS118" s="1141"/>
      <c r="AT118" s="1141"/>
      <c r="AU118" s="1141"/>
      <c r="AV118" s="1141"/>
      <c r="AW118" s="1141"/>
      <c r="AX118" s="1141"/>
      <c r="AY118" s="1141"/>
      <c r="AZ118" s="1141"/>
      <c r="BA118" s="1141"/>
      <c r="BB118" s="1141"/>
      <c r="BC118" s="1141"/>
      <c r="BD118" s="1141"/>
      <c r="BE118" s="1141"/>
      <c r="BF118" s="1141"/>
      <c r="BG118" s="1141"/>
      <c r="BH118" s="1141"/>
      <c r="BI118" s="1141"/>
      <c r="BJ118" s="1141"/>
      <c r="BK118" s="1141"/>
      <c r="BL118" s="1141"/>
      <c r="BM118" s="1141"/>
      <c r="BN118" s="1141"/>
      <c r="BO118" s="1141"/>
      <c r="BP118" s="1141"/>
      <c r="BQ118" s="1141"/>
      <c r="BR118" s="1141"/>
      <c r="BS118" s="1141"/>
      <c r="BT118" s="1141"/>
      <c r="BU118" s="1141"/>
      <c r="BV118" s="1141"/>
      <c r="BW118" s="1141"/>
      <c r="BX118" s="1141"/>
      <c r="BY118" s="1141"/>
      <c r="BZ118" s="1141"/>
      <c r="CA118" s="1141"/>
      <c r="CB118" s="1141"/>
      <c r="CC118" s="1141"/>
      <c r="CD118" s="1141"/>
      <c r="CE118" s="1141"/>
      <c r="CF118" s="1141"/>
      <c r="CG118" s="1141"/>
      <c r="CH118" s="1141"/>
      <c r="CI118" s="1141"/>
      <c r="CJ118" s="1141"/>
      <c r="CK118" s="1141"/>
      <c r="CL118" s="1141"/>
      <c r="CM118" s="1141"/>
      <c r="CN118" s="1141"/>
      <c r="CO118" s="1141"/>
      <c r="CP118" s="1141"/>
    </row>
    <row r="119" spans="1:94" s="56" customFormat="1">
      <c r="A119" s="1146"/>
      <c r="B119" s="1919" t="s">
        <v>398</v>
      </c>
      <c r="C119" s="1919"/>
      <c r="D119" s="1147">
        <f ca="1">SUM(D114:D118)</f>
        <v>0</v>
      </c>
      <c r="E119" s="1148"/>
      <c r="F119" s="1149"/>
      <c r="G119" s="1147">
        <f>IF(Deal_Overview!$P$28=0,0,D119/Deal_Overview!$P$28)</f>
        <v>0</v>
      </c>
      <c r="H119" s="1150"/>
      <c r="I119" s="1151">
        <f t="shared" ref="I119:N119" ca="1" si="52">SUM(I114:I118)</f>
        <v>0</v>
      </c>
      <c r="J119" s="1151">
        <f t="shared" ca="1" si="52"/>
        <v>0</v>
      </c>
      <c r="K119" s="1151">
        <f t="shared" ca="1" si="52"/>
        <v>0</v>
      </c>
      <c r="L119" s="1151">
        <f t="shared" ca="1" si="52"/>
        <v>0</v>
      </c>
      <c r="M119" s="1151">
        <f t="shared" ca="1" si="52"/>
        <v>0</v>
      </c>
      <c r="N119" s="1149">
        <f t="shared" ca="1" si="52"/>
        <v>0</v>
      </c>
      <c r="O119" s="1153"/>
      <c r="P119" s="1151">
        <f>SUM(P114:P118)</f>
        <v>0</v>
      </c>
      <c r="Q119" s="1151">
        <f ca="1">SUM(Q114:Q118)</f>
        <v>0</v>
      </c>
      <c r="R119" s="1149">
        <f ca="1">SUM(R114:R118)</f>
        <v>0</v>
      </c>
      <c r="S119" s="1154"/>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c r="CL119" s="43"/>
      <c r="CM119" s="43"/>
      <c r="CN119" s="43"/>
      <c r="CO119" s="43"/>
      <c r="CP119" s="43"/>
    </row>
    <row r="120" spans="1:94">
      <c r="A120" s="1127">
        <v>103</v>
      </c>
      <c r="B120" s="1128"/>
      <c r="C120" s="1083" t="s">
        <v>399</v>
      </c>
      <c r="D120" s="1143">
        <f>ROUND(IF(F120=Lists!$D$5,E120,IF(F120=Lists!$D$6,E120*'Units&amp;Income'!$AV$94,IF(F120=Lists!$D$7,DevCosts!E120*Setup!$D$37,IF(F120=Lists!$D$8,E120*Setup!$D$38,IF(F120=Lists!$D$9,SUM((DevCosts!E120*DevCosts!$D$13),($D$48*E120)),0))))),0)</f>
        <v>0</v>
      </c>
      <c r="E120" s="1144">
        <f>IF(Setup!D6="Refinancing DOH Deal",0,Lease_Up!K45)</f>
        <v>0</v>
      </c>
      <c r="F120" s="1135" t="s">
        <v>273</v>
      </c>
      <c r="G120" s="1132">
        <f>IF(Deal_Overview!$P$28=0,0,D120/Deal_Overview!$P$28)</f>
        <v>0</v>
      </c>
      <c r="H120" s="1133"/>
      <c r="I120" s="1134">
        <f t="shared" ref="I120:I125" si="53">D120*0</f>
        <v>0</v>
      </c>
      <c r="J120" s="1135">
        <f t="shared" ref="J120:K131" si="54">$D120*0</f>
        <v>0</v>
      </c>
      <c r="K120" s="1136">
        <f t="shared" si="54"/>
        <v>0</v>
      </c>
      <c r="L120" s="1135">
        <f>SUM(I120:K120)*Setup!$L$3</f>
        <v>0</v>
      </c>
      <c r="M120" s="1135">
        <f>I120*Setup!$L$19</f>
        <v>0</v>
      </c>
      <c r="N120" s="1138">
        <f t="shared" ref="N120:N126" si="55">D120-SUM(I120:K120)</f>
        <v>0</v>
      </c>
      <c r="O120" s="1139"/>
      <c r="P120" s="1137"/>
      <c r="Q120" s="1135">
        <f t="shared" si="39"/>
        <v>0</v>
      </c>
      <c r="R120" s="1155">
        <f t="shared" si="40"/>
        <v>0</v>
      </c>
      <c r="S120" s="1140">
        <f>IF(SUM(I120:K120)&gt;0,(L120/SUM(I120:K120))*I120,0)</f>
        <v>0</v>
      </c>
      <c r="T120" s="1141">
        <f>IF(S120&gt;M120,0,(M120-S120)*Setup!$L$22)</f>
        <v>0</v>
      </c>
      <c r="U120" s="1141"/>
      <c r="V120" s="1141"/>
      <c r="W120" s="1141"/>
      <c r="X120" s="1141"/>
      <c r="Y120" s="1141"/>
      <c r="Z120" s="1141"/>
      <c r="AA120" s="1141"/>
      <c r="AB120" s="1141"/>
      <c r="AC120" s="1141"/>
      <c r="AD120" s="1141"/>
      <c r="AE120" s="1141"/>
      <c r="AF120" s="1141"/>
      <c r="AG120" s="1141"/>
      <c r="AH120" s="1141"/>
      <c r="AI120" s="1141"/>
      <c r="AJ120" s="1141"/>
      <c r="AK120" s="1141"/>
      <c r="AL120" s="1141"/>
      <c r="AM120" s="1141"/>
      <c r="AN120" s="1141"/>
      <c r="AO120" s="1141"/>
      <c r="AP120" s="1141"/>
      <c r="AQ120" s="1141"/>
      <c r="AR120" s="1141"/>
      <c r="AS120" s="1141"/>
      <c r="AT120" s="1141"/>
      <c r="AU120" s="1141"/>
      <c r="AV120" s="1141"/>
      <c r="AW120" s="1141"/>
      <c r="AX120" s="1141"/>
      <c r="AY120" s="1141"/>
      <c r="AZ120" s="1141"/>
      <c r="BA120" s="1141"/>
      <c r="BB120" s="1141"/>
      <c r="BC120" s="1141"/>
      <c r="BD120" s="1141"/>
      <c r="BE120" s="1141"/>
      <c r="BF120" s="1141"/>
      <c r="BG120" s="1141"/>
      <c r="BH120" s="1141"/>
      <c r="BI120" s="1141"/>
      <c r="BJ120" s="1141"/>
      <c r="BK120" s="1141"/>
      <c r="BL120" s="1141"/>
      <c r="BM120" s="1141"/>
      <c r="BN120" s="1141"/>
      <c r="BO120" s="1141"/>
      <c r="BP120" s="1141"/>
      <c r="BQ120" s="1141"/>
      <c r="BR120" s="1141"/>
      <c r="BS120" s="1141"/>
      <c r="BT120" s="1141"/>
      <c r="BU120" s="1141"/>
      <c r="BV120" s="1141"/>
      <c r="BW120" s="1141"/>
      <c r="BX120" s="1141"/>
      <c r="BY120" s="1141"/>
      <c r="BZ120" s="1141"/>
      <c r="CA120" s="1141"/>
      <c r="CB120" s="1141"/>
      <c r="CC120" s="1141"/>
      <c r="CD120" s="1141"/>
      <c r="CE120" s="1141"/>
      <c r="CF120" s="1141"/>
      <c r="CG120" s="1141"/>
      <c r="CH120" s="1141"/>
      <c r="CI120" s="1141"/>
      <c r="CJ120" s="1141"/>
      <c r="CK120" s="1141"/>
      <c r="CL120" s="1141"/>
      <c r="CM120" s="1141"/>
      <c r="CN120" s="1141"/>
      <c r="CO120" s="1141"/>
      <c r="CP120" s="1141"/>
    </row>
    <row r="121" spans="1:94">
      <c r="A121" s="1127">
        <v>104</v>
      </c>
      <c r="B121" s="1128"/>
      <c r="C121" s="1083" t="s">
        <v>400</v>
      </c>
      <c r="D121" s="1143">
        <f>ROUND(IF(F121=Lists!$D$5,E121,IF(F121=Lists!$D$6,E121*'Units&amp;Income'!$AV$94,IF(F121=Lists!$D$7,DevCosts!E121*Setup!$D$37,IF(F121=Lists!$D$8,E121*Setup!$D$38,IF(F121=Lists!$D$9,SUM((DevCosts!E121*DevCosts!$D$13),($D$48*E121)),0))))),0)</f>
        <v>0</v>
      </c>
      <c r="E121" s="1145">
        <v>0</v>
      </c>
      <c r="F121" s="1131" t="s">
        <v>273</v>
      </c>
      <c r="G121" s="1132">
        <f>IF(Deal_Overview!$P$28=0,0,D121/Deal_Overview!$P$28)</f>
        <v>0</v>
      </c>
      <c r="H121" s="1133"/>
      <c r="I121" s="1134">
        <f t="shared" si="53"/>
        <v>0</v>
      </c>
      <c r="J121" s="1135">
        <f t="shared" si="54"/>
        <v>0</v>
      </c>
      <c r="K121" s="1136">
        <f t="shared" si="54"/>
        <v>0</v>
      </c>
      <c r="L121" s="1135">
        <f>SUM(I121:K121)*Setup!$L$3</f>
        <v>0</v>
      </c>
      <c r="M121" s="1135">
        <f>I121*Setup!$L$19</f>
        <v>0</v>
      </c>
      <c r="N121" s="1138">
        <f t="shared" si="55"/>
        <v>0</v>
      </c>
      <c r="O121" s="1139"/>
      <c r="P121" s="1137"/>
      <c r="Q121" s="1135">
        <f t="shared" si="39"/>
        <v>0</v>
      </c>
      <c r="R121" s="1155">
        <f t="shared" si="40"/>
        <v>0</v>
      </c>
      <c r="S121" s="1140">
        <f t="shared" ref="S121:S128" si="56">IF(SUM(I121:K121)&gt;0,(L121/SUM(I121:K121))*I121,0)</f>
        <v>0</v>
      </c>
      <c r="T121" s="1141">
        <f>IF(S121&gt;M121,0,(M121-S121)*Setup!$L$22)</f>
        <v>0</v>
      </c>
      <c r="U121" s="1141"/>
      <c r="V121" s="1141"/>
      <c r="W121" s="1141"/>
      <c r="X121" s="1141"/>
      <c r="Y121" s="1141"/>
      <c r="Z121" s="1141"/>
      <c r="AA121" s="1141"/>
      <c r="AB121" s="1141"/>
      <c r="AC121" s="1141"/>
      <c r="AD121" s="1141"/>
      <c r="AE121" s="1141"/>
      <c r="AF121" s="1141"/>
      <c r="AG121" s="1141"/>
      <c r="AH121" s="1141"/>
      <c r="AI121" s="1141"/>
      <c r="AJ121" s="1141"/>
      <c r="AK121" s="1141"/>
      <c r="AL121" s="1141"/>
      <c r="AM121" s="1141"/>
      <c r="AN121" s="1141"/>
      <c r="AO121" s="1141"/>
      <c r="AP121" s="1141"/>
      <c r="AQ121" s="1141"/>
      <c r="AR121" s="1141"/>
      <c r="AS121" s="1141"/>
      <c r="AT121" s="1141"/>
      <c r="AU121" s="1141"/>
      <c r="AV121" s="1141"/>
      <c r="AW121" s="1141"/>
      <c r="AX121" s="1141"/>
      <c r="AY121" s="1141"/>
      <c r="AZ121" s="1141"/>
      <c r="BA121" s="1141"/>
      <c r="BB121" s="1141"/>
      <c r="BC121" s="1141"/>
      <c r="BD121" s="1141"/>
      <c r="BE121" s="1141"/>
      <c r="BF121" s="1141"/>
      <c r="BG121" s="1141"/>
      <c r="BH121" s="1141"/>
      <c r="BI121" s="1141"/>
      <c r="BJ121" s="1141"/>
      <c r="BK121" s="1141"/>
      <c r="BL121" s="1141"/>
      <c r="BM121" s="1141"/>
      <c r="BN121" s="1141"/>
      <c r="BO121" s="1141"/>
      <c r="BP121" s="1141"/>
      <c r="BQ121" s="1141"/>
      <c r="BR121" s="1141"/>
      <c r="BS121" s="1141"/>
      <c r="BT121" s="1141"/>
      <c r="BU121" s="1141"/>
      <c r="BV121" s="1141"/>
      <c r="BW121" s="1141"/>
      <c r="BX121" s="1141"/>
      <c r="BY121" s="1141"/>
      <c r="BZ121" s="1141"/>
      <c r="CA121" s="1141"/>
      <c r="CB121" s="1141"/>
      <c r="CC121" s="1141"/>
      <c r="CD121" s="1141"/>
      <c r="CE121" s="1141"/>
      <c r="CF121" s="1141"/>
      <c r="CG121" s="1141"/>
      <c r="CH121" s="1141"/>
      <c r="CI121" s="1141"/>
      <c r="CJ121" s="1141"/>
      <c r="CK121" s="1141"/>
      <c r="CL121" s="1141"/>
      <c r="CM121" s="1141"/>
      <c r="CN121" s="1141"/>
      <c r="CO121" s="1141"/>
      <c r="CP121" s="1141"/>
    </row>
    <row r="122" spans="1:94">
      <c r="A122" s="1127">
        <v>105</v>
      </c>
      <c r="B122" s="1128"/>
      <c r="C122" s="1083" t="s">
        <v>401</v>
      </c>
      <c r="D122" s="1143">
        <f>ROUND(IF(F122=Lists!$D$5,E122,IF(F122=Lists!$D$6,E122*'Units&amp;Income'!$AV$94,IF(F122=Lists!$D$7,DevCosts!E122*Setup!$D$37,IF(F122=Lists!$D$8,E122*Setup!$D$38,IF(F122=Lists!$D$9,SUM((DevCosts!E122*DevCosts!$D$13),($D$48*E122)),0))))),0)</f>
        <v>0</v>
      </c>
      <c r="E122" s="1145">
        <v>0</v>
      </c>
      <c r="F122" s="1131" t="s">
        <v>273</v>
      </c>
      <c r="G122" s="1132">
        <f>IF(Deal_Overview!$P$28=0,0,D122/Deal_Overview!$P$28)</f>
        <v>0</v>
      </c>
      <c r="H122" s="1133"/>
      <c r="I122" s="1134">
        <f t="shared" si="53"/>
        <v>0</v>
      </c>
      <c r="J122" s="1135">
        <f t="shared" si="54"/>
        <v>0</v>
      </c>
      <c r="K122" s="1136">
        <f t="shared" si="54"/>
        <v>0</v>
      </c>
      <c r="L122" s="1135">
        <f>SUM(I122:K122)*Setup!$L$3</f>
        <v>0</v>
      </c>
      <c r="M122" s="1135">
        <f>I122*Setup!$L$19</f>
        <v>0</v>
      </c>
      <c r="N122" s="1138">
        <f t="shared" si="55"/>
        <v>0</v>
      </c>
      <c r="O122" s="1139"/>
      <c r="P122" s="1137"/>
      <c r="Q122" s="1135">
        <f t="shared" si="39"/>
        <v>0</v>
      </c>
      <c r="R122" s="1155">
        <f t="shared" si="40"/>
        <v>0</v>
      </c>
      <c r="S122" s="1140">
        <f t="shared" si="56"/>
        <v>0</v>
      </c>
      <c r="T122" s="1141">
        <f>IF(S122&gt;M122,0,(M122-S122)*Setup!$L$22)</f>
        <v>0</v>
      </c>
      <c r="U122" s="1141"/>
      <c r="V122" s="1141"/>
      <c r="W122" s="1141"/>
      <c r="X122" s="1141"/>
      <c r="Y122" s="1141"/>
      <c r="Z122" s="1141"/>
      <c r="AA122" s="1141"/>
      <c r="AB122" s="1141"/>
      <c r="AC122" s="1141"/>
      <c r="AD122" s="1141"/>
      <c r="AE122" s="1141"/>
      <c r="AF122" s="1141"/>
      <c r="AG122" s="1141"/>
      <c r="AH122" s="1141"/>
      <c r="AI122" s="1141"/>
      <c r="AJ122" s="1141"/>
      <c r="AK122" s="1141"/>
      <c r="AL122" s="1141"/>
      <c r="AM122" s="1141"/>
      <c r="AN122" s="1141"/>
      <c r="AO122" s="1141"/>
      <c r="AP122" s="1141"/>
      <c r="AQ122" s="1141"/>
      <c r="AR122" s="1141"/>
      <c r="AS122" s="1141"/>
      <c r="AT122" s="1141"/>
      <c r="AU122" s="1141"/>
      <c r="AV122" s="1141"/>
      <c r="AW122" s="1141"/>
      <c r="AX122" s="1141"/>
      <c r="AY122" s="1141"/>
      <c r="AZ122" s="1141"/>
      <c r="BA122" s="1141"/>
      <c r="BB122" s="1141"/>
      <c r="BC122" s="1141"/>
      <c r="BD122" s="1141"/>
      <c r="BE122" s="1141"/>
      <c r="BF122" s="1141"/>
      <c r="BG122" s="1141"/>
      <c r="BH122" s="1141"/>
      <c r="BI122" s="1141"/>
      <c r="BJ122" s="1141"/>
      <c r="BK122" s="1141"/>
      <c r="BL122" s="1141"/>
      <c r="BM122" s="1141"/>
      <c r="BN122" s="1141"/>
      <c r="BO122" s="1141"/>
      <c r="BP122" s="1141"/>
      <c r="BQ122" s="1141"/>
      <c r="BR122" s="1141"/>
      <c r="BS122" s="1141"/>
      <c r="BT122" s="1141"/>
      <c r="BU122" s="1141"/>
      <c r="BV122" s="1141"/>
      <c r="BW122" s="1141"/>
      <c r="BX122" s="1141"/>
      <c r="BY122" s="1141"/>
      <c r="BZ122" s="1141"/>
      <c r="CA122" s="1141"/>
      <c r="CB122" s="1141"/>
      <c r="CC122" s="1141"/>
      <c r="CD122" s="1141"/>
      <c r="CE122" s="1141"/>
      <c r="CF122" s="1141"/>
      <c r="CG122" s="1141"/>
      <c r="CH122" s="1141"/>
      <c r="CI122" s="1141"/>
      <c r="CJ122" s="1141"/>
      <c r="CK122" s="1141"/>
      <c r="CL122" s="1141"/>
      <c r="CM122" s="1141"/>
      <c r="CN122" s="1141"/>
      <c r="CO122" s="1141"/>
      <c r="CP122" s="1141"/>
    </row>
    <row r="123" spans="1:94">
      <c r="A123" s="1127">
        <v>106</v>
      </c>
      <c r="B123" s="1128"/>
      <c r="C123" s="1083" t="s">
        <v>402</v>
      </c>
      <c r="D123" s="1143">
        <f>ROUND(IF(F123=Lists!$D$5,E123,IF(F123=Lists!$D$6,E123*'Units&amp;Income'!$AV$94,IF(F123=Lists!$D$7,DevCosts!E123*Setup!$D$37,IF(F123=Lists!$D$8,E123*Setup!$D$38,IF(F123=Lists!$D$9,SUM((DevCosts!E123*DevCosts!$D$13),($D$48*E123)),0))))),0)</f>
        <v>0</v>
      </c>
      <c r="E123" s="1145">
        <v>0</v>
      </c>
      <c r="F123" s="1131" t="s">
        <v>273</v>
      </c>
      <c r="G123" s="1132">
        <f>IF(Deal_Overview!$P$28=0,0,D123/Deal_Overview!$P$28)</f>
        <v>0</v>
      </c>
      <c r="H123" s="1133"/>
      <c r="I123" s="1134">
        <f t="shared" si="53"/>
        <v>0</v>
      </c>
      <c r="J123" s="1135">
        <f t="shared" si="54"/>
        <v>0</v>
      </c>
      <c r="K123" s="1136">
        <f t="shared" si="54"/>
        <v>0</v>
      </c>
      <c r="L123" s="1135">
        <f>SUM(I123:K123)*Setup!$L$3</f>
        <v>0</v>
      </c>
      <c r="M123" s="1135">
        <f>I123*Setup!$L$19</f>
        <v>0</v>
      </c>
      <c r="N123" s="1138">
        <f t="shared" si="55"/>
        <v>0</v>
      </c>
      <c r="O123" s="1139"/>
      <c r="P123" s="1137"/>
      <c r="Q123" s="1135">
        <f t="shared" si="39"/>
        <v>0</v>
      </c>
      <c r="R123" s="1155">
        <f t="shared" si="40"/>
        <v>0</v>
      </c>
      <c r="S123" s="1140">
        <f t="shared" si="56"/>
        <v>0</v>
      </c>
      <c r="T123" s="1141">
        <f>IF(S123&gt;M123,0,(M123-S123)*Setup!$L$22)</f>
        <v>0</v>
      </c>
      <c r="U123" s="1141"/>
      <c r="V123" s="1141"/>
      <c r="W123" s="1141"/>
      <c r="X123" s="1141"/>
      <c r="Y123" s="1141"/>
      <c r="Z123" s="1141"/>
      <c r="AA123" s="1141"/>
      <c r="AB123" s="1141"/>
      <c r="AC123" s="1141"/>
      <c r="AD123" s="1141"/>
      <c r="AE123" s="1141"/>
      <c r="AF123" s="1141"/>
      <c r="AG123" s="1141"/>
      <c r="AH123" s="1141"/>
      <c r="AI123" s="1141"/>
      <c r="AJ123" s="1141"/>
      <c r="AK123" s="1141"/>
      <c r="AL123" s="1141"/>
      <c r="AM123" s="1141"/>
      <c r="AN123" s="1141"/>
      <c r="AO123" s="1141"/>
      <c r="AP123" s="1141"/>
      <c r="AQ123" s="1141"/>
      <c r="AR123" s="1141"/>
      <c r="AS123" s="1141"/>
      <c r="AT123" s="1141"/>
      <c r="AU123" s="1141"/>
      <c r="AV123" s="1141"/>
      <c r="AW123" s="1141"/>
      <c r="AX123" s="1141"/>
      <c r="AY123" s="1141"/>
      <c r="AZ123" s="1141"/>
      <c r="BA123" s="1141"/>
      <c r="BB123" s="1141"/>
      <c r="BC123" s="1141"/>
      <c r="BD123" s="1141"/>
      <c r="BE123" s="1141"/>
      <c r="BF123" s="1141"/>
      <c r="BG123" s="1141"/>
      <c r="BH123" s="1141"/>
      <c r="BI123" s="1141"/>
      <c r="BJ123" s="1141"/>
      <c r="BK123" s="1141"/>
      <c r="BL123" s="1141"/>
      <c r="BM123" s="1141"/>
      <c r="BN123" s="1141"/>
      <c r="BO123" s="1141"/>
      <c r="BP123" s="1141"/>
      <c r="BQ123" s="1141"/>
      <c r="BR123" s="1141"/>
      <c r="BS123" s="1141"/>
      <c r="BT123" s="1141"/>
      <c r="BU123" s="1141"/>
      <c r="BV123" s="1141"/>
      <c r="BW123" s="1141"/>
      <c r="BX123" s="1141"/>
      <c r="BY123" s="1141"/>
      <c r="BZ123" s="1141"/>
      <c r="CA123" s="1141"/>
      <c r="CB123" s="1141"/>
      <c r="CC123" s="1141"/>
      <c r="CD123" s="1141"/>
      <c r="CE123" s="1141"/>
      <c r="CF123" s="1141"/>
      <c r="CG123" s="1141"/>
      <c r="CH123" s="1141"/>
      <c r="CI123" s="1141"/>
      <c r="CJ123" s="1141"/>
      <c r="CK123" s="1141"/>
      <c r="CL123" s="1141"/>
      <c r="CM123" s="1141"/>
      <c r="CN123" s="1141"/>
      <c r="CO123" s="1141"/>
      <c r="CP123" s="1141"/>
    </row>
    <row r="124" spans="1:94">
      <c r="A124" s="1127">
        <v>107</v>
      </c>
      <c r="B124" s="1128"/>
      <c r="C124" s="1083" t="s">
        <v>403</v>
      </c>
      <c r="D124" s="1143">
        <f>ROUND(IF(F124=Lists!$D$5,E124,IF(F124=Lists!$D$6,E124*'Units&amp;Income'!$AV$94,IF(F124=Lists!$D$7,DevCosts!E124*Setup!$D$37,IF(F124=Lists!$D$8,E124*Setup!$D$38,IF(F124=Lists!$D$9,SUM((DevCosts!E124*DevCosts!$D$13),($D$48*E124)),0))))),0)</f>
        <v>0</v>
      </c>
      <c r="E124" s="1161">
        <f>IF(Setup!D6="Refinancing DOH Deal",0,Op_Costs!G62/12*6+Sources!J70/12*6)</f>
        <v>0</v>
      </c>
      <c r="F124" s="1135" t="s">
        <v>273</v>
      </c>
      <c r="G124" s="1132">
        <f>IF(Deal_Overview!$P$28=0,0,D124/Deal_Overview!$P$28)</f>
        <v>0</v>
      </c>
      <c r="H124" s="1133"/>
      <c r="I124" s="1134">
        <f t="shared" si="53"/>
        <v>0</v>
      </c>
      <c r="J124" s="1135">
        <f t="shared" si="54"/>
        <v>0</v>
      </c>
      <c r="K124" s="1136">
        <f t="shared" si="54"/>
        <v>0</v>
      </c>
      <c r="L124" s="1135">
        <f>SUM(I124:K124)*Setup!$L$3</f>
        <v>0</v>
      </c>
      <c r="M124" s="1135">
        <f>I124*Setup!$L$19</f>
        <v>0</v>
      </c>
      <c r="N124" s="1138">
        <f t="shared" si="55"/>
        <v>0</v>
      </c>
      <c r="O124" s="1139"/>
      <c r="P124" s="1137"/>
      <c r="Q124" s="1135">
        <f t="shared" si="39"/>
        <v>0</v>
      </c>
      <c r="R124" s="1155">
        <f>I124</f>
        <v>0</v>
      </c>
      <c r="S124" s="1140">
        <f t="shared" si="56"/>
        <v>0</v>
      </c>
      <c r="T124" s="1141">
        <f>IF(S124&gt;M124,0,(M124-S124)*Setup!$L$22)</f>
        <v>0</v>
      </c>
      <c r="U124" s="1141"/>
      <c r="V124" s="1141"/>
      <c r="W124" s="1141"/>
      <c r="X124" s="1141"/>
      <c r="Y124" s="1141"/>
      <c r="Z124" s="1141"/>
      <c r="AA124" s="1141"/>
      <c r="AB124" s="1141"/>
      <c r="AC124" s="1141"/>
      <c r="AD124" s="1141"/>
      <c r="AE124" s="1141"/>
      <c r="AF124" s="1141"/>
      <c r="AG124" s="1141"/>
      <c r="AH124" s="1141"/>
      <c r="AI124" s="1141"/>
      <c r="AJ124" s="1141"/>
      <c r="AK124" s="1141"/>
      <c r="AL124" s="1141"/>
      <c r="AM124" s="1141"/>
      <c r="AN124" s="1141"/>
      <c r="AO124" s="1141"/>
      <c r="AP124" s="1141"/>
      <c r="AQ124" s="1141"/>
      <c r="AR124" s="1141"/>
      <c r="AS124" s="1141"/>
      <c r="AT124" s="1141"/>
      <c r="AU124" s="1141"/>
      <c r="AV124" s="1141"/>
      <c r="AW124" s="1141"/>
      <c r="AX124" s="1141"/>
      <c r="AY124" s="1141"/>
      <c r="AZ124" s="1141"/>
      <c r="BA124" s="1141"/>
      <c r="BB124" s="1141"/>
      <c r="BC124" s="1141"/>
      <c r="BD124" s="1141"/>
      <c r="BE124" s="1141"/>
      <c r="BF124" s="1141"/>
      <c r="BG124" s="1141"/>
      <c r="BH124" s="1141"/>
      <c r="BI124" s="1141"/>
      <c r="BJ124" s="1141"/>
      <c r="BK124" s="1141"/>
      <c r="BL124" s="1141"/>
      <c r="BM124" s="1141"/>
      <c r="BN124" s="1141"/>
      <c r="BO124" s="1141"/>
      <c r="BP124" s="1141"/>
      <c r="BQ124" s="1141"/>
      <c r="BR124" s="1141"/>
      <c r="BS124" s="1141"/>
      <c r="BT124" s="1141"/>
      <c r="BU124" s="1141"/>
      <c r="BV124" s="1141"/>
      <c r="BW124" s="1141"/>
      <c r="BX124" s="1141"/>
      <c r="BY124" s="1141"/>
      <c r="BZ124" s="1141"/>
      <c r="CA124" s="1141"/>
      <c r="CB124" s="1141"/>
      <c r="CC124" s="1141"/>
      <c r="CD124" s="1141"/>
      <c r="CE124" s="1141"/>
      <c r="CF124" s="1141"/>
      <c r="CG124" s="1141"/>
      <c r="CH124" s="1141"/>
      <c r="CI124" s="1141"/>
      <c r="CJ124" s="1141"/>
      <c r="CK124" s="1141"/>
      <c r="CL124" s="1141"/>
      <c r="CM124" s="1141"/>
      <c r="CN124" s="1141"/>
      <c r="CO124" s="1141"/>
      <c r="CP124" s="1141"/>
    </row>
    <row r="125" spans="1:94">
      <c r="A125" s="1127">
        <v>108</v>
      </c>
      <c r="B125" s="1128"/>
      <c r="C125" s="1083" t="s">
        <v>404</v>
      </c>
      <c r="D125" s="1143">
        <f>ROUND(IF(F125=Lists!$D$5,E125,IF(F125=Lists!$D$6,E125*'Units&amp;Income'!$AV$94,IF(F125=Lists!$D$7,DevCosts!E125*Setup!$D$37,IF(F125=Lists!$D$8,E125*Setup!$D$38,IF(F125=Lists!$D$9,SUM((DevCosts!E125*DevCosts!$D$13),($D$48*E125)),0))))),0)</f>
        <v>0</v>
      </c>
      <c r="E125" s="1145">
        <v>0</v>
      </c>
      <c r="F125" s="1131" t="s">
        <v>273</v>
      </c>
      <c r="G125" s="1132">
        <f>IF(Deal_Overview!$P$28=0,0,D125/Deal_Overview!$P$28)</f>
        <v>0</v>
      </c>
      <c r="H125" s="1133"/>
      <c r="I125" s="1134">
        <f t="shared" si="53"/>
        <v>0</v>
      </c>
      <c r="J125" s="1135">
        <f t="shared" si="54"/>
        <v>0</v>
      </c>
      <c r="K125" s="1136">
        <f t="shared" si="54"/>
        <v>0</v>
      </c>
      <c r="L125" s="1135">
        <f>SUM(I125:K125)*Setup!$L$3</f>
        <v>0</v>
      </c>
      <c r="M125" s="1135">
        <f>I125*Setup!$L$19</f>
        <v>0</v>
      </c>
      <c r="N125" s="1138">
        <f t="shared" si="55"/>
        <v>0</v>
      </c>
      <c r="O125" s="1139"/>
      <c r="P125" s="1137"/>
      <c r="Q125" s="1135">
        <f t="shared" si="39"/>
        <v>0</v>
      </c>
      <c r="R125" s="1155">
        <f t="shared" si="40"/>
        <v>0</v>
      </c>
      <c r="S125" s="1140">
        <f t="shared" si="56"/>
        <v>0</v>
      </c>
      <c r="T125" s="1141">
        <f>IF(S125&gt;M125,0,(M125-S125)*Setup!$L$22)</f>
        <v>0</v>
      </c>
      <c r="U125" s="1141"/>
      <c r="V125" s="1141"/>
      <c r="W125" s="1141"/>
      <c r="X125" s="1141"/>
      <c r="Y125" s="1141"/>
      <c r="Z125" s="1141"/>
      <c r="AA125" s="1141"/>
      <c r="AB125" s="1141"/>
      <c r="AC125" s="1141"/>
      <c r="AD125" s="1141"/>
      <c r="AE125" s="1141"/>
      <c r="AF125" s="1141"/>
      <c r="AG125" s="1141"/>
      <c r="AH125" s="1141"/>
      <c r="AI125" s="1141"/>
      <c r="AJ125" s="1141"/>
      <c r="AK125" s="1141"/>
      <c r="AL125" s="1141"/>
      <c r="AM125" s="1141"/>
      <c r="AN125" s="1141"/>
      <c r="AO125" s="1141"/>
      <c r="AP125" s="1141"/>
      <c r="AQ125" s="1141"/>
      <c r="AR125" s="1141"/>
      <c r="AS125" s="1141"/>
      <c r="AT125" s="1141"/>
      <c r="AU125" s="1141"/>
      <c r="AV125" s="1141"/>
      <c r="AW125" s="1141"/>
      <c r="AX125" s="1141"/>
      <c r="AY125" s="1141"/>
      <c r="AZ125" s="1141"/>
      <c r="BA125" s="1141"/>
      <c r="BB125" s="1141"/>
      <c r="BC125" s="1141"/>
      <c r="BD125" s="1141"/>
      <c r="BE125" s="1141"/>
      <c r="BF125" s="1141"/>
      <c r="BG125" s="1141"/>
      <c r="BH125" s="1141"/>
      <c r="BI125" s="1141"/>
      <c r="BJ125" s="1141"/>
      <c r="BK125" s="1141"/>
      <c r="BL125" s="1141"/>
      <c r="BM125" s="1141"/>
      <c r="BN125" s="1141"/>
      <c r="BO125" s="1141"/>
      <c r="BP125" s="1141"/>
      <c r="BQ125" s="1141"/>
      <c r="BR125" s="1141"/>
      <c r="BS125" s="1141"/>
      <c r="BT125" s="1141"/>
      <c r="BU125" s="1141"/>
      <c r="BV125" s="1141"/>
      <c r="BW125" s="1141"/>
      <c r="BX125" s="1141"/>
      <c r="BY125" s="1141"/>
      <c r="BZ125" s="1141"/>
      <c r="CA125" s="1141"/>
      <c r="CB125" s="1141"/>
      <c r="CC125" s="1141"/>
      <c r="CD125" s="1141"/>
      <c r="CE125" s="1141"/>
      <c r="CF125" s="1141"/>
      <c r="CG125" s="1141"/>
      <c r="CH125" s="1141"/>
      <c r="CI125" s="1141"/>
      <c r="CJ125" s="1141"/>
      <c r="CK125" s="1141"/>
      <c r="CL125" s="1141"/>
      <c r="CM125" s="1141"/>
      <c r="CN125" s="1141"/>
      <c r="CO125" s="1141"/>
      <c r="CP125" s="1141"/>
    </row>
    <row r="126" spans="1:94">
      <c r="A126" s="1127">
        <v>109</v>
      </c>
      <c r="B126" s="1128"/>
      <c r="C126" s="1083" t="s">
        <v>405</v>
      </c>
      <c r="D126" s="1143">
        <f>ROUND(IF(F126=Lists!$D$5,E126,IF(F126=Lists!$D$6,E126*'Units&amp;Income'!$AV$94,IF(F126=Lists!$D$7,DevCosts!E126*Setup!$D$37,IF(F126=Lists!$D$8,E126*Setup!$D$38,IF(F126=Lists!$D$9,SUM((DevCosts!E126*DevCosts!$D$13),($D$48*E126)),0))))),0)</f>
        <v>0</v>
      </c>
      <c r="E126" s="1145">
        <v>0</v>
      </c>
      <c r="F126" s="1131" t="s">
        <v>273</v>
      </c>
      <c r="G126" s="1132">
        <f>IF(Deal_Overview!$P$28=0,0,D126/Deal_Overview!$P$28)</f>
        <v>0</v>
      </c>
      <c r="H126" s="1133"/>
      <c r="I126" s="1134">
        <f>D126*0</f>
        <v>0</v>
      </c>
      <c r="J126" s="1135">
        <f t="shared" si="54"/>
        <v>0</v>
      </c>
      <c r="K126" s="1136">
        <f t="shared" si="54"/>
        <v>0</v>
      </c>
      <c r="L126" s="1135">
        <f>SUM(I126:K126)*Setup!$L$3</f>
        <v>0</v>
      </c>
      <c r="M126" s="1135">
        <f>I126*Setup!$L$19</f>
        <v>0</v>
      </c>
      <c r="N126" s="1138">
        <f t="shared" si="55"/>
        <v>0</v>
      </c>
      <c r="O126" s="1139"/>
      <c r="P126" s="1137"/>
      <c r="Q126" s="1135">
        <f t="shared" si="39"/>
        <v>0</v>
      </c>
      <c r="R126" s="1155">
        <f t="shared" si="40"/>
        <v>0</v>
      </c>
      <c r="S126" s="1140">
        <f t="shared" si="56"/>
        <v>0</v>
      </c>
      <c r="T126" s="1141">
        <f>IF(S126&gt;M126,0,(M126-S126)*Setup!$L$22)</f>
        <v>0</v>
      </c>
      <c r="U126" s="1141"/>
      <c r="V126" s="1141"/>
      <c r="W126" s="1141"/>
      <c r="X126" s="1141"/>
      <c r="Y126" s="1141"/>
      <c r="Z126" s="1141"/>
      <c r="AA126" s="1141"/>
      <c r="AB126" s="1141"/>
      <c r="AC126" s="1141"/>
      <c r="AD126" s="1141"/>
      <c r="AE126" s="1141"/>
      <c r="AF126" s="1141"/>
      <c r="AG126" s="1141"/>
      <c r="AH126" s="1141"/>
      <c r="AI126" s="1141"/>
      <c r="AJ126" s="1141"/>
      <c r="AK126" s="1141"/>
      <c r="AL126" s="1141"/>
      <c r="AM126" s="1141"/>
      <c r="AN126" s="1141"/>
      <c r="AO126" s="1141"/>
      <c r="AP126" s="1141"/>
      <c r="AQ126" s="1141"/>
      <c r="AR126" s="1141"/>
      <c r="AS126" s="1141"/>
      <c r="AT126" s="1141"/>
      <c r="AU126" s="1141"/>
      <c r="AV126" s="1141"/>
      <c r="AW126" s="1141"/>
      <c r="AX126" s="1141"/>
      <c r="AY126" s="1141"/>
      <c r="AZ126" s="1141"/>
      <c r="BA126" s="1141"/>
      <c r="BB126" s="1141"/>
      <c r="BC126" s="1141"/>
      <c r="BD126" s="1141"/>
      <c r="BE126" s="1141"/>
      <c r="BF126" s="1141"/>
      <c r="BG126" s="1141"/>
      <c r="BH126" s="1141"/>
      <c r="BI126" s="1141"/>
      <c r="BJ126" s="1141"/>
      <c r="BK126" s="1141"/>
      <c r="BL126" s="1141"/>
      <c r="BM126" s="1141"/>
      <c r="BN126" s="1141"/>
      <c r="BO126" s="1141"/>
      <c r="BP126" s="1141"/>
      <c r="BQ126" s="1141"/>
      <c r="BR126" s="1141"/>
      <c r="BS126" s="1141"/>
      <c r="BT126" s="1141"/>
      <c r="BU126" s="1141"/>
      <c r="BV126" s="1141"/>
      <c r="BW126" s="1141"/>
      <c r="BX126" s="1141"/>
      <c r="BY126" s="1141"/>
      <c r="BZ126" s="1141"/>
      <c r="CA126" s="1141"/>
      <c r="CB126" s="1141"/>
      <c r="CC126" s="1141"/>
      <c r="CD126" s="1141"/>
      <c r="CE126" s="1141"/>
      <c r="CF126" s="1141"/>
      <c r="CG126" s="1141"/>
      <c r="CH126" s="1141"/>
      <c r="CI126" s="1141"/>
      <c r="CJ126" s="1141"/>
      <c r="CK126" s="1141"/>
      <c r="CL126" s="1141"/>
      <c r="CM126" s="1141"/>
      <c r="CN126" s="1141"/>
      <c r="CO126" s="1141"/>
      <c r="CP126" s="1141"/>
    </row>
    <row r="127" spans="1:94" s="56" customFormat="1">
      <c r="A127" s="1146"/>
      <c r="B127" s="1919" t="s">
        <v>406</v>
      </c>
      <c r="C127" s="1919"/>
      <c r="D127" s="1147">
        <f>SUM(D120:D126)</f>
        <v>0</v>
      </c>
      <c r="E127" s="1148"/>
      <c r="F127" s="1149"/>
      <c r="G127" s="1147">
        <f>IF(Deal_Overview!$P$28=0,0,D127/Deal_Overview!$P$28)</f>
        <v>0</v>
      </c>
      <c r="H127" s="1150"/>
      <c r="I127" s="1149">
        <f t="shared" ref="I127:N127" si="57">SUM(I120:I126)</f>
        <v>0</v>
      </c>
      <c r="J127" s="1149">
        <f t="shared" si="57"/>
        <v>0</v>
      </c>
      <c r="K127" s="1149">
        <f t="shared" si="57"/>
        <v>0</v>
      </c>
      <c r="L127" s="1149">
        <f t="shared" si="57"/>
        <v>0</v>
      </c>
      <c r="M127" s="1149">
        <f t="shared" si="57"/>
        <v>0</v>
      </c>
      <c r="N127" s="1149">
        <f t="shared" si="57"/>
        <v>0</v>
      </c>
      <c r="O127" s="1153"/>
      <c r="P127" s="1149">
        <f>SUM(P120:P126)</f>
        <v>0</v>
      </c>
      <c r="Q127" s="1149">
        <f>SUM(Q120:Q126)</f>
        <v>0</v>
      </c>
      <c r="R127" s="1149">
        <f>SUM(R120:R126)</f>
        <v>0</v>
      </c>
      <c r="S127" s="1154"/>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c r="CL127" s="43"/>
      <c r="CM127" s="43"/>
      <c r="CN127" s="43"/>
      <c r="CO127" s="43"/>
      <c r="CP127" s="43"/>
    </row>
    <row r="128" spans="1:94">
      <c r="A128" s="1127">
        <v>110</v>
      </c>
      <c r="B128" s="1128"/>
      <c r="C128" s="1083" t="s">
        <v>407</v>
      </c>
      <c r="D128" s="1143">
        <f>ROUND(IF(F128=Lists!$D$5,E128,IF(F128=Lists!$D$6,E128*'Units&amp;Income'!$AV$94,IF(F128=Lists!$D$7,DevCosts!E128*Setup!$D$37,IF(F128=Lists!$D$8,E128*Setup!$D$38,IF(F128=Lists!$D$9,SUM((DevCosts!E128*DevCosts!$D$13),($D$48*E128)),0))))),0)</f>
        <v>0</v>
      </c>
      <c r="E128" s="1145">
        <v>0</v>
      </c>
      <c r="F128" s="1131" t="s">
        <v>273</v>
      </c>
      <c r="G128" s="1132">
        <f>IF(Deal_Overview!$P$28=0,0,D128/Deal_Overview!$P$28)</f>
        <v>0</v>
      </c>
      <c r="H128" s="1133"/>
      <c r="I128" s="1134">
        <f>D128*0</f>
        <v>0</v>
      </c>
      <c r="J128" s="1135">
        <f t="shared" si="54"/>
        <v>0</v>
      </c>
      <c r="K128" s="1136">
        <f t="shared" si="54"/>
        <v>0</v>
      </c>
      <c r="L128" s="1135">
        <f>SUM(I128:K128)*Setup!$L$3</f>
        <v>0</v>
      </c>
      <c r="M128" s="1135">
        <f>I128*Setup!$L$19</f>
        <v>0</v>
      </c>
      <c r="N128" s="1138">
        <f>D128-SUM(I128:K128)</f>
        <v>0</v>
      </c>
      <c r="O128" s="1139"/>
      <c r="P128" s="1137"/>
      <c r="Q128" s="1135">
        <f t="shared" si="39"/>
        <v>0</v>
      </c>
      <c r="R128" s="1155">
        <f t="shared" si="40"/>
        <v>0</v>
      </c>
      <c r="S128" s="1140">
        <f t="shared" si="56"/>
        <v>0</v>
      </c>
      <c r="T128" s="1141">
        <f>IF(S128&gt;M128,0,(M128-S128)*Setup!$L$22)</f>
        <v>0</v>
      </c>
      <c r="U128" s="1141"/>
      <c r="V128" s="1141"/>
      <c r="W128" s="1141"/>
      <c r="X128" s="1141"/>
      <c r="Y128" s="1141"/>
      <c r="Z128" s="1141"/>
      <c r="AA128" s="1141"/>
      <c r="AB128" s="1141"/>
      <c r="AC128" s="1141"/>
      <c r="AD128" s="1141"/>
      <c r="AE128" s="1141"/>
      <c r="AF128" s="1141"/>
      <c r="AG128" s="1141"/>
      <c r="AH128" s="1141"/>
      <c r="AI128" s="1141"/>
      <c r="AJ128" s="1141"/>
      <c r="AK128" s="1141"/>
      <c r="AL128" s="1141"/>
      <c r="AM128" s="1141"/>
      <c r="AN128" s="1141"/>
      <c r="AO128" s="1141"/>
      <c r="AP128" s="1141"/>
      <c r="AQ128" s="1141"/>
      <c r="AR128" s="1141"/>
      <c r="AS128" s="1141"/>
      <c r="AT128" s="1141"/>
      <c r="AU128" s="1141"/>
      <c r="AV128" s="1141"/>
      <c r="AW128" s="1141"/>
      <c r="AX128" s="1141"/>
      <c r="AY128" s="1141"/>
      <c r="AZ128" s="1141"/>
      <c r="BA128" s="1141"/>
      <c r="BB128" s="1141"/>
      <c r="BC128" s="1141"/>
      <c r="BD128" s="1141"/>
      <c r="BE128" s="1141"/>
      <c r="BF128" s="1141"/>
      <c r="BG128" s="1141"/>
      <c r="BH128" s="1141"/>
      <c r="BI128" s="1141"/>
      <c r="BJ128" s="1141"/>
      <c r="BK128" s="1141"/>
      <c r="BL128" s="1141"/>
      <c r="BM128" s="1141"/>
      <c r="BN128" s="1141"/>
      <c r="BO128" s="1141"/>
      <c r="BP128" s="1141"/>
      <c r="BQ128" s="1141"/>
      <c r="BR128" s="1141"/>
      <c r="BS128" s="1141"/>
      <c r="BT128" s="1141"/>
      <c r="BU128" s="1141"/>
      <c r="BV128" s="1141"/>
      <c r="BW128" s="1141"/>
      <c r="BX128" s="1141"/>
      <c r="BY128" s="1141"/>
      <c r="BZ128" s="1141"/>
      <c r="CA128" s="1141"/>
      <c r="CB128" s="1141"/>
      <c r="CC128" s="1141"/>
      <c r="CD128" s="1141"/>
      <c r="CE128" s="1141"/>
      <c r="CF128" s="1141"/>
      <c r="CG128" s="1141"/>
      <c r="CH128" s="1141"/>
      <c r="CI128" s="1141"/>
      <c r="CJ128" s="1141"/>
      <c r="CK128" s="1141"/>
      <c r="CL128" s="1141"/>
      <c r="CM128" s="1141"/>
      <c r="CN128" s="1141"/>
      <c r="CO128" s="1141"/>
      <c r="CP128" s="1141"/>
    </row>
    <row r="129" spans="1:94">
      <c r="A129" s="1127">
        <v>111</v>
      </c>
      <c r="B129" s="1128"/>
      <c r="C129" s="1083" t="s">
        <v>408</v>
      </c>
      <c r="D129" s="1143">
        <f>ROUND(IF(F129=Lists!$D$5,E129,IF(F129=Lists!$D$6,E129*'Units&amp;Income'!$AV$94,IF(F129=Lists!$D$7,DevCosts!E129*Setup!$D$37,IF(F129=Lists!$D$8,E129*Setup!$D$38,IF(F129=Lists!$D$9,SUM((DevCosts!E129*DevCosts!$D$13),($D$48*E129)),0))))),0)</f>
        <v>0</v>
      </c>
      <c r="E129" s="1145">
        <v>0</v>
      </c>
      <c r="F129" s="1131" t="s">
        <v>273</v>
      </c>
      <c r="G129" s="1132">
        <f>IF(Deal_Overview!$P$28=0,0,D129/Deal_Overview!$P$28)</f>
        <v>0</v>
      </c>
      <c r="H129" s="1133"/>
      <c r="I129" s="1134">
        <f>D129*0</f>
        <v>0</v>
      </c>
      <c r="J129" s="1135">
        <f t="shared" si="54"/>
        <v>0</v>
      </c>
      <c r="K129" s="1136">
        <f t="shared" si="54"/>
        <v>0</v>
      </c>
      <c r="L129" s="1135">
        <f>SUM(I129:K129)*Setup!$L$3</f>
        <v>0</v>
      </c>
      <c r="M129" s="1135">
        <f>I129*Setup!$L$19</f>
        <v>0</v>
      </c>
      <c r="N129" s="1138">
        <f>D129-SUM(I129:K129)</f>
        <v>0</v>
      </c>
      <c r="O129" s="1139"/>
      <c r="P129" s="1137"/>
      <c r="Q129" s="1135">
        <f t="shared" si="39"/>
        <v>0</v>
      </c>
      <c r="R129" s="1155">
        <f t="shared" si="40"/>
        <v>0</v>
      </c>
      <c r="S129" s="1140">
        <f>IF(SUM(I129:K129)&gt;0,(L129/SUM(I129:K129))*I129,0)</f>
        <v>0</v>
      </c>
      <c r="T129" s="1141">
        <f>IF(S129&gt;M129,0,(M129-S129)*Setup!$L$22)</f>
        <v>0</v>
      </c>
      <c r="U129" s="1141"/>
      <c r="V129" s="1141"/>
      <c r="W129" s="1141"/>
      <c r="X129" s="1141"/>
      <c r="Y129" s="1141"/>
      <c r="Z129" s="1141"/>
      <c r="AA129" s="1141"/>
      <c r="AB129" s="1141"/>
      <c r="AC129" s="1141"/>
      <c r="AD129" s="1141"/>
      <c r="AE129" s="1141"/>
      <c r="AF129" s="1141"/>
      <c r="AG129" s="1141"/>
      <c r="AH129" s="1141"/>
      <c r="AI129" s="1141"/>
      <c r="AJ129" s="1141"/>
      <c r="AK129" s="1141"/>
      <c r="AL129" s="1141"/>
      <c r="AM129" s="1141"/>
      <c r="AN129" s="1141"/>
      <c r="AO129" s="1141"/>
      <c r="AP129" s="1141"/>
      <c r="AQ129" s="1141"/>
      <c r="AR129" s="1141"/>
      <c r="AS129" s="1141"/>
      <c r="AT129" s="1141"/>
      <c r="AU129" s="1141"/>
      <c r="AV129" s="1141"/>
      <c r="AW129" s="1141"/>
      <c r="AX129" s="1141"/>
      <c r="AY129" s="1141"/>
      <c r="AZ129" s="1141"/>
      <c r="BA129" s="1141"/>
      <c r="BB129" s="1141"/>
      <c r="BC129" s="1141"/>
      <c r="BD129" s="1141"/>
      <c r="BE129" s="1141"/>
      <c r="BF129" s="1141"/>
      <c r="BG129" s="1141"/>
      <c r="BH129" s="1141"/>
      <c r="BI129" s="1141"/>
      <c r="BJ129" s="1141"/>
      <c r="BK129" s="1141"/>
      <c r="BL129" s="1141"/>
      <c r="BM129" s="1141"/>
      <c r="BN129" s="1141"/>
      <c r="BO129" s="1141"/>
      <c r="BP129" s="1141"/>
      <c r="BQ129" s="1141"/>
      <c r="BR129" s="1141"/>
      <c r="BS129" s="1141"/>
      <c r="BT129" s="1141"/>
      <c r="BU129" s="1141"/>
      <c r="BV129" s="1141"/>
      <c r="BW129" s="1141"/>
      <c r="BX129" s="1141"/>
      <c r="BY129" s="1141"/>
      <c r="BZ129" s="1141"/>
      <c r="CA129" s="1141"/>
      <c r="CB129" s="1141"/>
      <c r="CC129" s="1141"/>
      <c r="CD129" s="1141"/>
      <c r="CE129" s="1141"/>
      <c r="CF129" s="1141"/>
      <c r="CG129" s="1141"/>
      <c r="CH129" s="1141"/>
      <c r="CI129" s="1141"/>
      <c r="CJ129" s="1141"/>
      <c r="CK129" s="1141"/>
      <c r="CL129" s="1141"/>
      <c r="CM129" s="1141"/>
      <c r="CN129" s="1141"/>
      <c r="CO129" s="1141"/>
      <c r="CP129" s="1141"/>
    </row>
    <row r="130" spans="1:94">
      <c r="A130" s="1127">
        <v>112</v>
      </c>
      <c r="B130" s="1128"/>
      <c r="C130" s="1083" t="s">
        <v>409</v>
      </c>
      <c r="D130" s="1143">
        <f>ROUND(IF(F130=Lists!$D$5,E130,IF(F130=Lists!$D$6,E130*'Units&amp;Income'!$AV$94,IF(F130=Lists!$D$7,DevCosts!E130*Setup!$D$37,IF(F130=Lists!$D$8,E130*Setup!$D$38,IF(F130=Lists!$D$9,SUM((DevCosts!E130*DevCosts!$D$13),($D$48*E130)),0))))),0)</f>
        <v>0</v>
      </c>
      <c r="E130" s="1145">
        <v>0</v>
      </c>
      <c r="F130" s="1131" t="s">
        <v>273</v>
      </c>
      <c r="G130" s="1132">
        <f>IF(Deal_Overview!$P$28=0,0,D130/Deal_Overview!$P$28)</f>
        <v>0</v>
      </c>
      <c r="H130" s="1133"/>
      <c r="I130" s="1134">
        <f>D130*0</f>
        <v>0</v>
      </c>
      <c r="J130" s="1135">
        <f t="shared" si="54"/>
        <v>0</v>
      </c>
      <c r="K130" s="1136">
        <f t="shared" si="54"/>
        <v>0</v>
      </c>
      <c r="L130" s="1135">
        <f>SUM(I130:K130)*Setup!$L$3</f>
        <v>0</v>
      </c>
      <c r="M130" s="1135">
        <f>I130*Setup!$L$19</f>
        <v>0</v>
      </c>
      <c r="N130" s="1138">
        <f>D130-SUM(I130:K130)</f>
        <v>0</v>
      </c>
      <c r="O130" s="1139"/>
      <c r="P130" s="1137"/>
      <c r="Q130" s="1135">
        <f t="shared" si="39"/>
        <v>0</v>
      </c>
      <c r="R130" s="1155">
        <f t="shared" si="40"/>
        <v>0</v>
      </c>
      <c r="S130" s="1140">
        <f>IF(SUM(I130:K130)&gt;0,(L130/SUM(I130:K130))*I130,0)</f>
        <v>0</v>
      </c>
      <c r="T130" s="1141">
        <f>IF(S130&gt;M130,0,(M130-S130)*Setup!$L$22)</f>
        <v>0</v>
      </c>
      <c r="U130" s="1141"/>
      <c r="V130" s="1141"/>
      <c r="W130" s="1141"/>
      <c r="X130" s="1141"/>
      <c r="Y130" s="1141"/>
      <c r="Z130" s="1141"/>
      <c r="AA130" s="1141"/>
      <c r="AB130" s="1141"/>
      <c r="AC130" s="1141"/>
      <c r="AD130" s="1141"/>
      <c r="AE130" s="1141"/>
      <c r="AF130" s="1141"/>
      <c r="AG130" s="1141"/>
      <c r="AH130" s="1141"/>
      <c r="AI130" s="1141"/>
      <c r="AJ130" s="1141"/>
      <c r="AK130" s="1141"/>
      <c r="AL130" s="1141"/>
      <c r="AM130" s="1141"/>
      <c r="AN130" s="1141"/>
      <c r="AO130" s="1141"/>
      <c r="AP130" s="1141"/>
      <c r="AQ130" s="1141"/>
      <c r="AR130" s="1141"/>
      <c r="AS130" s="1141"/>
      <c r="AT130" s="1141"/>
      <c r="AU130" s="1141"/>
      <c r="AV130" s="1141"/>
      <c r="AW130" s="1141"/>
      <c r="AX130" s="1141"/>
      <c r="AY130" s="1141"/>
      <c r="AZ130" s="1141"/>
      <c r="BA130" s="1141"/>
      <c r="BB130" s="1141"/>
      <c r="BC130" s="1141"/>
      <c r="BD130" s="1141"/>
      <c r="BE130" s="1141"/>
      <c r="BF130" s="1141"/>
      <c r="BG130" s="1141"/>
      <c r="BH130" s="1141"/>
      <c r="BI130" s="1141"/>
      <c r="BJ130" s="1141"/>
      <c r="BK130" s="1141"/>
      <c r="BL130" s="1141"/>
      <c r="BM130" s="1141"/>
      <c r="BN130" s="1141"/>
      <c r="BO130" s="1141"/>
      <c r="BP130" s="1141"/>
      <c r="BQ130" s="1141"/>
      <c r="BR130" s="1141"/>
      <c r="BS130" s="1141"/>
      <c r="BT130" s="1141"/>
      <c r="BU130" s="1141"/>
      <c r="BV130" s="1141"/>
      <c r="BW130" s="1141"/>
      <c r="BX130" s="1141"/>
      <c r="BY130" s="1141"/>
      <c r="BZ130" s="1141"/>
      <c r="CA130" s="1141"/>
      <c r="CB130" s="1141"/>
      <c r="CC130" s="1141"/>
      <c r="CD130" s="1141"/>
      <c r="CE130" s="1141"/>
      <c r="CF130" s="1141"/>
      <c r="CG130" s="1141"/>
      <c r="CH130" s="1141"/>
      <c r="CI130" s="1141"/>
      <c r="CJ130" s="1141"/>
      <c r="CK130" s="1141"/>
      <c r="CL130" s="1141"/>
      <c r="CM130" s="1141"/>
      <c r="CN130" s="1141"/>
      <c r="CO130" s="1141"/>
      <c r="CP130" s="1141"/>
    </row>
    <row r="131" spans="1:94">
      <c r="A131" s="1127">
        <v>113</v>
      </c>
      <c r="B131" s="1128"/>
      <c r="C131" s="1083" t="s">
        <v>410</v>
      </c>
      <c r="D131" s="1143">
        <f>ROUND(IF(F131=Lists!$D$5,E131,IF(F131=Lists!$D$6,E131*'Units&amp;Income'!$AV$94,IF(F131=Lists!$D$7,DevCosts!E131*Setup!$D$37,IF(F131=Lists!$D$8,E131*Setup!$D$38,IF(F131=Lists!$D$9,SUM((DevCosts!E131*DevCosts!$D$13),($D$48*E131)),0))))),0)</f>
        <v>0</v>
      </c>
      <c r="E131" s="1145">
        <v>0</v>
      </c>
      <c r="F131" s="1131" t="s">
        <v>273</v>
      </c>
      <c r="G131" s="1132">
        <f>IF(Deal_Overview!$P$28=0,0,D131/Deal_Overview!$P$28)</f>
        <v>0</v>
      </c>
      <c r="H131" s="1133"/>
      <c r="I131" s="1134">
        <f>D131*0</f>
        <v>0</v>
      </c>
      <c r="J131" s="1135">
        <f t="shared" si="54"/>
        <v>0</v>
      </c>
      <c r="K131" s="1136">
        <f t="shared" si="54"/>
        <v>0</v>
      </c>
      <c r="L131" s="1135">
        <f>SUM(I131:K131)*Setup!$L$3</f>
        <v>0</v>
      </c>
      <c r="M131" s="1135">
        <f>I131*Setup!$L$19</f>
        <v>0</v>
      </c>
      <c r="N131" s="1138">
        <f>D131-SUM(I131:K131)</f>
        <v>0</v>
      </c>
      <c r="O131" s="1139"/>
      <c r="P131" s="1137"/>
      <c r="Q131" s="1135">
        <f t="shared" si="39"/>
        <v>0</v>
      </c>
      <c r="R131" s="1155">
        <f>I131</f>
        <v>0</v>
      </c>
      <c r="S131" s="1140">
        <f>IF(SUM(I131:K131)&gt;0,(L131/SUM(I131:K131))*I131,0)</f>
        <v>0</v>
      </c>
      <c r="T131" s="1141">
        <f>IF(S131&gt;M131,0,(M131-S131)*Setup!$L$22)</f>
        <v>0</v>
      </c>
      <c r="U131" s="1141"/>
      <c r="V131" s="1141"/>
      <c r="W131" s="1141"/>
      <c r="X131" s="1141"/>
      <c r="Y131" s="1141"/>
      <c r="Z131" s="1141"/>
      <c r="AA131" s="1141"/>
      <c r="AB131" s="1141"/>
      <c r="AC131" s="1141"/>
      <c r="AD131" s="1141"/>
      <c r="AE131" s="1141"/>
      <c r="AF131" s="1141"/>
      <c r="AG131" s="1141"/>
      <c r="AH131" s="1141"/>
      <c r="AI131" s="1141"/>
      <c r="AJ131" s="1141"/>
      <c r="AK131" s="1141"/>
      <c r="AL131" s="1141"/>
      <c r="AM131" s="1141"/>
      <c r="AN131" s="1141"/>
      <c r="AO131" s="1141"/>
      <c r="AP131" s="1141"/>
      <c r="AQ131" s="1141"/>
      <c r="AR131" s="1141"/>
      <c r="AS131" s="1141"/>
      <c r="AT131" s="1141"/>
      <c r="AU131" s="1141"/>
      <c r="AV131" s="1141"/>
      <c r="AW131" s="1141"/>
      <c r="AX131" s="1141"/>
      <c r="AY131" s="1141"/>
      <c r="AZ131" s="1141"/>
      <c r="BA131" s="1141"/>
      <c r="BB131" s="1141"/>
      <c r="BC131" s="1141"/>
      <c r="BD131" s="1141"/>
      <c r="BE131" s="1141"/>
      <c r="BF131" s="1141"/>
      <c r="BG131" s="1141"/>
      <c r="BH131" s="1141"/>
      <c r="BI131" s="1141"/>
      <c r="BJ131" s="1141"/>
      <c r="BK131" s="1141"/>
      <c r="BL131" s="1141"/>
      <c r="BM131" s="1141"/>
      <c r="BN131" s="1141"/>
      <c r="BO131" s="1141"/>
      <c r="BP131" s="1141"/>
      <c r="BQ131" s="1141"/>
      <c r="BR131" s="1141"/>
      <c r="BS131" s="1141"/>
      <c r="BT131" s="1141"/>
      <c r="BU131" s="1141"/>
      <c r="BV131" s="1141"/>
      <c r="BW131" s="1141"/>
      <c r="BX131" s="1141"/>
      <c r="BY131" s="1141"/>
      <c r="BZ131" s="1141"/>
      <c r="CA131" s="1141"/>
      <c r="CB131" s="1141"/>
      <c r="CC131" s="1141"/>
      <c r="CD131" s="1141"/>
      <c r="CE131" s="1141"/>
      <c r="CF131" s="1141"/>
      <c r="CG131" s="1141"/>
      <c r="CH131" s="1141"/>
      <c r="CI131" s="1141"/>
      <c r="CJ131" s="1141"/>
      <c r="CK131" s="1141"/>
      <c r="CL131" s="1141"/>
      <c r="CM131" s="1141"/>
      <c r="CN131" s="1141"/>
      <c r="CO131" s="1141"/>
      <c r="CP131" s="1141"/>
    </row>
    <row r="132" spans="1:94" s="58" customFormat="1" ht="12.75" thickBot="1">
      <c r="A132" s="1163"/>
      <c r="B132" s="1920" t="s">
        <v>411</v>
      </c>
      <c r="C132" s="1920"/>
      <c r="D132" s="1164">
        <f>SUM(D128:D131)</f>
        <v>0</v>
      </c>
      <c r="E132" s="1165"/>
      <c r="F132" s="1166"/>
      <c r="G132" s="1164">
        <f>IF(Deal_Overview!$P$28=0,0,D132/Deal_Overview!$P$28)</f>
        <v>0</v>
      </c>
      <c r="H132" s="1167"/>
      <c r="I132" s="1168">
        <f t="shared" ref="I132:N132" si="58">SUM(I128:I131)</f>
        <v>0</v>
      </c>
      <c r="J132" s="1168">
        <f t="shared" si="58"/>
        <v>0</v>
      </c>
      <c r="K132" s="1168">
        <f t="shared" si="58"/>
        <v>0</v>
      </c>
      <c r="L132" s="1168">
        <f t="shared" si="58"/>
        <v>0</v>
      </c>
      <c r="M132" s="1168">
        <f t="shared" si="58"/>
        <v>0</v>
      </c>
      <c r="N132" s="1166">
        <f t="shared" si="58"/>
        <v>0</v>
      </c>
      <c r="O132" s="1169"/>
      <c r="P132" s="1168">
        <f>SUM(P128:P131)</f>
        <v>0</v>
      </c>
      <c r="Q132" s="1168">
        <f>SUM(Q128:Q131)</f>
        <v>0</v>
      </c>
      <c r="R132" s="1166">
        <f>SUM(R128:R131)</f>
        <v>0</v>
      </c>
      <c r="S132" s="1154"/>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row>
    <row r="133" spans="1:94" s="59" customFormat="1">
      <c r="A133" s="1170"/>
      <c r="B133" s="1921" t="s">
        <v>412</v>
      </c>
      <c r="C133" s="1921"/>
      <c r="D133" s="1171">
        <f ca="1">D132+D127+D119+D113+D108+D103+D97+D80+D58+D47+D39+D31+D19+D12</f>
        <v>0</v>
      </c>
      <c r="E133" s="1172"/>
      <c r="F133" s="1173"/>
      <c r="G133" s="1174">
        <f>IF(Deal_Overview!$P$28=0,0,D133/Deal_Overview!$P$28)</f>
        <v>0</v>
      </c>
      <c r="H133" s="1175"/>
      <c r="I133" s="1176">
        <f t="shared" ref="I133:N133" ca="1" si="59">I132+I127+I119+I113+I108+I103+I97+I80+I58+I47+I39+I31+I19+I12</f>
        <v>0</v>
      </c>
      <c r="J133" s="1173">
        <f t="shared" ca="1" si="59"/>
        <v>0</v>
      </c>
      <c r="K133" s="1177">
        <f t="shared" ca="1" si="59"/>
        <v>0</v>
      </c>
      <c r="L133" s="1173">
        <f t="shared" ca="1" si="59"/>
        <v>0</v>
      </c>
      <c r="M133" s="1173">
        <f t="shared" ca="1" si="59"/>
        <v>0</v>
      </c>
      <c r="N133" s="1173">
        <f t="shared" ca="1" si="59"/>
        <v>0</v>
      </c>
      <c r="O133" s="1178"/>
      <c r="P133" s="1173">
        <f>P132+P127+P119+P113+P108+P103+P97+P80+P58+P47+P39+P31+P19+P12</f>
        <v>0</v>
      </c>
      <c r="Q133" s="1173">
        <f ca="1">Q132+Q127+Q119+Q113+Q108+Q103+Q97+Q80+Q58+Q47+Q39+Q31+Q19+Q12</f>
        <v>0</v>
      </c>
      <c r="R133" s="1173">
        <f ca="1">R132+R127+R119+R113+R108+R103+R97+R80+R58+R47+R39+R31+R19+R12</f>
        <v>0</v>
      </c>
      <c r="S133" s="1154"/>
      <c r="T133" s="43">
        <f ca="1">SUM(T3:T132)</f>
        <v>0</v>
      </c>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row>
    <row r="134" spans="1:94" ht="12.75">
      <c r="A134" s="1127"/>
      <c r="B134" s="1179"/>
      <c r="C134" s="1128"/>
      <c r="D134" s="60"/>
      <c r="E134" s="1108"/>
      <c r="F134" s="1180"/>
      <c r="G134" s="1181"/>
      <c r="I134" s="1180"/>
      <c r="J134" s="1180"/>
      <c r="K134" s="1180"/>
      <c r="L134" s="1180"/>
      <c r="M134" s="1180"/>
      <c r="N134" s="1180"/>
      <c r="O134" s="1182"/>
      <c r="P134" s="1180"/>
      <c r="Q134" s="1180"/>
      <c r="R134" s="1183"/>
      <c r="S134" s="1140"/>
      <c r="T134" s="1141"/>
      <c r="U134" s="1141"/>
      <c r="V134" s="1141"/>
      <c r="W134" s="1141"/>
      <c r="X134" s="1141"/>
      <c r="Y134" s="1141"/>
      <c r="Z134" s="1141"/>
      <c r="AA134" s="1141"/>
      <c r="AB134" s="1141"/>
      <c r="AC134" s="1141"/>
      <c r="AD134" s="1141"/>
      <c r="AE134" s="1141"/>
      <c r="AF134" s="1141"/>
      <c r="AG134" s="1141"/>
      <c r="AH134" s="1141"/>
      <c r="AI134" s="1141"/>
      <c r="AJ134" s="1141"/>
      <c r="AK134" s="1141"/>
      <c r="AL134" s="1141"/>
      <c r="AM134" s="1141"/>
      <c r="AN134" s="1141"/>
      <c r="AO134" s="1141"/>
      <c r="AP134" s="1141"/>
      <c r="AQ134" s="1141"/>
      <c r="AR134" s="1141"/>
      <c r="AS134" s="1141"/>
      <c r="AT134" s="1141"/>
      <c r="AU134" s="1141"/>
      <c r="AV134" s="1141"/>
      <c r="AW134" s="1141"/>
      <c r="AX134" s="1141"/>
      <c r="AY134" s="1141"/>
      <c r="AZ134" s="1141"/>
      <c r="BA134" s="1141"/>
      <c r="BB134" s="1141"/>
      <c r="BC134" s="1141"/>
      <c r="BD134" s="1141"/>
      <c r="BE134" s="1141"/>
      <c r="BF134" s="1141"/>
      <c r="BG134" s="1141"/>
      <c r="BH134" s="1141"/>
      <c r="BI134" s="1141"/>
      <c r="BJ134" s="1141"/>
      <c r="BK134" s="1141"/>
      <c r="BL134" s="1141"/>
      <c r="BM134" s="1141"/>
      <c r="BN134" s="1141"/>
      <c r="BO134" s="1141"/>
      <c r="BP134" s="1141"/>
      <c r="BQ134" s="1141"/>
      <c r="BR134" s="1141"/>
      <c r="BS134" s="1141"/>
      <c r="BT134" s="1141"/>
      <c r="BU134" s="1141"/>
      <c r="BV134" s="1141"/>
      <c r="BW134" s="1141"/>
      <c r="BX134" s="1141"/>
      <c r="BY134" s="1141"/>
      <c r="BZ134" s="1141"/>
      <c r="CA134" s="1141"/>
      <c r="CB134" s="1141"/>
      <c r="CC134" s="1141"/>
      <c r="CD134" s="1141"/>
      <c r="CE134" s="1141"/>
      <c r="CF134" s="1141"/>
      <c r="CG134" s="1141"/>
      <c r="CH134" s="1141"/>
      <c r="CI134" s="1141"/>
      <c r="CJ134" s="1141"/>
      <c r="CK134" s="1141"/>
      <c r="CL134" s="1141"/>
      <c r="CM134" s="1141"/>
      <c r="CN134" s="1141"/>
      <c r="CO134" s="1141"/>
      <c r="CP134" s="1141"/>
    </row>
    <row r="135" spans="1:94" ht="12.75">
      <c r="A135" s="1127"/>
      <c r="B135" s="1179"/>
      <c r="C135" s="1128"/>
      <c r="D135" s="60"/>
      <c r="E135" s="1108"/>
      <c r="F135" s="1180"/>
      <c r="G135" s="1181"/>
      <c r="I135" s="1180"/>
      <c r="J135" s="1180"/>
      <c r="K135" s="1180"/>
      <c r="L135" s="1180"/>
      <c r="M135" s="1180"/>
      <c r="N135" s="1180"/>
      <c r="O135" s="1182"/>
      <c r="P135" s="1180"/>
      <c r="Q135" s="1180"/>
      <c r="R135" s="1183"/>
      <c r="S135" s="1140"/>
      <c r="T135" s="1141"/>
      <c r="U135" s="1141"/>
      <c r="V135" s="1141"/>
      <c r="W135" s="1141"/>
      <c r="X135" s="1141"/>
      <c r="Y135" s="1141"/>
      <c r="Z135" s="1141"/>
      <c r="AA135" s="1141"/>
      <c r="AB135" s="1141"/>
      <c r="AC135" s="1141"/>
      <c r="AD135" s="1141"/>
      <c r="AE135" s="1141"/>
      <c r="AF135" s="1141"/>
      <c r="AG135" s="1141"/>
      <c r="AH135" s="1141"/>
      <c r="AI135" s="1141"/>
      <c r="AJ135" s="1141"/>
      <c r="AK135" s="1141"/>
      <c r="AL135" s="1141"/>
      <c r="AM135" s="1141"/>
      <c r="AN135" s="1141"/>
      <c r="AO135" s="1141"/>
      <c r="AP135" s="1141"/>
      <c r="AQ135" s="1141"/>
      <c r="AR135" s="1141"/>
      <c r="AS135" s="1141"/>
      <c r="AT135" s="1141"/>
      <c r="AU135" s="1141"/>
      <c r="AV135" s="1141"/>
      <c r="AW135" s="1141"/>
      <c r="AX135" s="1141"/>
      <c r="AY135" s="1141"/>
      <c r="AZ135" s="1141"/>
      <c r="BA135" s="1141"/>
      <c r="BB135" s="1141"/>
      <c r="BC135" s="1141"/>
      <c r="BD135" s="1141"/>
      <c r="BE135" s="1141"/>
      <c r="BF135" s="1141"/>
      <c r="BG135" s="1141"/>
      <c r="BH135" s="1141"/>
      <c r="BI135" s="1141"/>
      <c r="BJ135" s="1141"/>
      <c r="BK135" s="1141"/>
      <c r="BL135" s="1141"/>
      <c r="BM135" s="1141"/>
      <c r="BN135" s="1141"/>
      <c r="BO135" s="1141"/>
      <c r="BP135" s="1141"/>
      <c r="BQ135" s="1141"/>
      <c r="BR135" s="1141"/>
      <c r="BS135" s="1141"/>
      <c r="BT135" s="1141"/>
      <c r="BU135" s="1141"/>
      <c r="BV135" s="1141"/>
      <c r="BW135" s="1141"/>
      <c r="BX135" s="1141"/>
      <c r="BY135" s="1141"/>
      <c r="BZ135" s="1141"/>
      <c r="CA135" s="1141"/>
      <c r="CB135" s="1141"/>
      <c r="CC135" s="1141"/>
      <c r="CD135" s="1141"/>
      <c r="CE135" s="1141"/>
      <c r="CF135" s="1141"/>
      <c r="CG135" s="1141"/>
      <c r="CH135" s="1141"/>
      <c r="CI135" s="1141"/>
      <c r="CJ135" s="1141"/>
      <c r="CK135" s="1141"/>
      <c r="CL135" s="1141"/>
      <c r="CM135" s="1141"/>
      <c r="CN135" s="1141"/>
      <c r="CO135" s="1141"/>
      <c r="CP135" s="1141"/>
    </row>
    <row r="136" spans="1:94" ht="12.75">
      <c r="A136" s="1127"/>
      <c r="B136" s="1179"/>
      <c r="C136" s="1128"/>
      <c r="D136" s="60"/>
      <c r="E136" s="1108"/>
      <c r="F136" s="1180"/>
      <c r="G136" s="1181"/>
      <c r="I136" s="1180"/>
      <c r="J136" s="1180"/>
      <c r="K136" s="1180"/>
      <c r="L136" s="1180"/>
      <c r="M136" s="1180"/>
      <c r="N136" s="1180"/>
      <c r="O136" s="1182"/>
      <c r="P136" s="1180"/>
      <c r="Q136" s="1180"/>
      <c r="R136" s="1183"/>
      <c r="S136" s="1140"/>
      <c r="T136" s="1141"/>
      <c r="U136" s="1141"/>
      <c r="V136" s="1141"/>
      <c r="W136" s="1141"/>
      <c r="X136" s="1141"/>
      <c r="Y136" s="1141"/>
      <c r="Z136" s="1141"/>
      <c r="AA136" s="1141"/>
      <c r="AB136" s="1141"/>
      <c r="AC136" s="1141"/>
      <c r="AD136" s="1141"/>
      <c r="AE136" s="1141"/>
      <c r="AF136" s="1141"/>
      <c r="AG136" s="1141"/>
      <c r="AH136" s="1141"/>
      <c r="AI136" s="1141"/>
      <c r="AJ136" s="1141"/>
      <c r="AK136" s="1141"/>
      <c r="AL136" s="1141"/>
      <c r="AM136" s="1141"/>
      <c r="AN136" s="1141"/>
      <c r="AO136" s="1141"/>
      <c r="AP136" s="1141"/>
      <c r="AQ136" s="1141"/>
      <c r="AR136" s="1141"/>
      <c r="AS136" s="1141"/>
      <c r="AT136" s="1141"/>
      <c r="AU136" s="1141"/>
      <c r="AV136" s="1141"/>
      <c r="AW136" s="1141"/>
      <c r="AX136" s="1141"/>
      <c r="AY136" s="1141"/>
      <c r="AZ136" s="1141"/>
      <c r="BA136" s="1141"/>
      <c r="BB136" s="1141"/>
      <c r="BC136" s="1141"/>
      <c r="BD136" s="1141"/>
      <c r="BE136" s="1141"/>
      <c r="BF136" s="1141"/>
      <c r="BG136" s="1141"/>
      <c r="BH136" s="1141"/>
      <c r="BI136" s="1141"/>
      <c r="BJ136" s="1141"/>
      <c r="BK136" s="1141"/>
      <c r="BL136" s="1141"/>
      <c r="BM136" s="1141"/>
      <c r="BN136" s="1141"/>
      <c r="BO136" s="1141"/>
      <c r="BP136" s="1141"/>
      <c r="BQ136" s="1141"/>
      <c r="BR136" s="1141"/>
      <c r="BS136" s="1141"/>
      <c r="BT136" s="1141"/>
      <c r="BU136" s="1141"/>
      <c r="BV136" s="1141"/>
      <c r="BW136" s="1141"/>
      <c r="BX136" s="1141"/>
      <c r="BY136" s="1141"/>
      <c r="BZ136" s="1141"/>
      <c r="CA136" s="1141"/>
      <c r="CB136" s="1141"/>
      <c r="CC136" s="1141"/>
      <c r="CD136" s="1141"/>
      <c r="CE136" s="1141"/>
      <c r="CF136" s="1141"/>
      <c r="CG136" s="1141"/>
      <c r="CH136" s="1141"/>
      <c r="CI136" s="1141"/>
      <c r="CJ136" s="1141"/>
      <c r="CK136" s="1141"/>
      <c r="CL136" s="1141"/>
      <c r="CM136" s="1141"/>
      <c r="CN136" s="1141"/>
      <c r="CO136" s="1141"/>
      <c r="CP136" s="1141"/>
    </row>
    <row r="137" spans="1:94">
      <c r="A137" s="1127"/>
      <c r="B137" s="1179"/>
      <c r="C137" s="1128"/>
      <c r="D137" s="1184"/>
      <c r="E137" s="1108"/>
      <c r="F137" s="1180"/>
      <c r="G137" s="1181"/>
      <c r="I137" s="1180"/>
      <c r="J137" s="1180"/>
      <c r="K137" s="1180"/>
      <c r="L137" s="1180"/>
      <c r="M137" s="1180"/>
      <c r="N137" s="1180"/>
      <c r="O137" s="1182"/>
      <c r="P137" s="1180"/>
      <c r="Q137" s="1180"/>
      <c r="R137" s="1183"/>
      <c r="S137" s="1140"/>
      <c r="T137" s="1141"/>
      <c r="U137" s="1141"/>
      <c r="V137" s="1141"/>
      <c r="W137" s="1141"/>
      <c r="X137" s="1141"/>
      <c r="Y137" s="1141"/>
      <c r="Z137" s="1141"/>
      <c r="AA137" s="1141"/>
      <c r="AB137" s="1141"/>
      <c r="AC137" s="1141"/>
      <c r="AD137" s="1141"/>
      <c r="AE137" s="1141"/>
      <c r="AF137" s="1141"/>
      <c r="AG137" s="1141"/>
      <c r="AH137" s="1141"/>
      <c r="AI137" s="1141"/>
      <c r="AJ137" s="1141"/>
      <c r="AK137" s="1141"/>
      <c r="AL137" s="1141"/>
      <c r="AM137" s="1141"/>
      <c r="AN137" s="1141"/>
      <c r="AO137" s="1141"/>
      <c r="AP137" s="1141"/>
      <c r="AQ137" s="1141"/>
      <c r="AR137" s="1141"/>
      <c r="AS137" s="1141"/>
      <c r="AT137" s="1141"/>
      <c r="AU137" s="1141"/>
      <c r="AV137" s="1141"/>
      <c r="AW137" s="1141"/>
      <c r="AX137" s="1141"/>
      <c r="AY137" s="1141"/>
      <c r="AZ137" s="1141"/>
      <c r="BA137" s="1141"/>
      <c r="BB137" s="1141"/>
      <c r="BC137" s="1141"/>
      <c r="BD137" s="1141"/>
      <c r="BE137" s="1141"/>
      <c r="BF137" s="1141"/>
      <c r="BG137" s="1141"/>
      <c r="BH137" s="1141"/>
      <c r="BI137" s="1141"/>
      <c r="BJ137" s="1141"/>
      <c r="BK137" s="1141"/>
      <c r="BL137" s="1141"/>
      <c r="BM137" s="1141"/>
      <c r="BN137" s="1141"/>
      <c r="BO137" s="1141"/>
      <c r="BP137" s="1141"/>
      <c r="BQ137" s="1141"/>
      <c r="BR137" s="1141"/>
      <c r="BS137" s="1141"/>
      <c r="BT137" s="1141"/>
      <c r="BU137" s="1141"/>
      <c r="BV137" s="1141"/>
      <c r="BW137" s="1141"/>
      <c r="BX137" s="1141"/>
      <c r="BY137" s="1141"/>
      <c r="BZ137" s="1141"/>
      <c r="CA137" s="1141"/>
      <c r="CB137" s="1141"/>
      <c r="CC137" s="1141"/>
      <c r="CD137" s="1141"/>
      <c r="CE137" s="1141"/>
      <c r="CF137" s="1141"/>
      <c r="CG137" s="1141"/>
      <c r="CH137" s="1141"/>
      <c r="CI137" s="1141"/>
      <c r="CJ137" s="1141"/>
      <c r="CK137" s="1141"/>
      <c r="CL137" s="1141"/>
      <c r="CM137" s="1141"/>
      <c r="CN137" s="1141"/>
      <c r="CO137" s="1141"/>
      <c r="CP137" s="1141"/>
    </row>
    <row r="138" spans="1:94">
      <c r="A138" s="1127"/>
      <c r="B138" s="1179"/>
      <c r="C138" s="1128"/>
      <c r="D138" s="1184"/>
      <c r="E138" s="1108"/>
      <c r="F138" s="1180"/>
      <c r="G138" s="1181"/>
      <c r="I138" s="1180"/>
      <c r="J138" s="1180"/>
      <c r="K138" s="1180"/>
      <c r="L138" s="1180"/>
      <c r="M138" s="1180"/>
      <c r="N138" s="1180"/>
      <c r="O138" s="1182"/>
      <c r="P138" s="1180"/>
      <c r="Q138" s="1180"/>
      <c r="R138" s="1183"/>
      <c r="S138" s="1140"/>
      <c r="T138" s="1141"/>
      <c r="U138" s="1141"/>
      <c r="V138" s="1141"/>
      <c r="W138" s="1141"/>
      <c r="X138" s="1141"/>
      <c r="Y138" s="1141"/>
      <c r="Z138" s="1141"/>
      <c r="AA138" s="1141"/>
      <c r="AB138" s="1141"/>
      <c r="AC138" s="1141"/>
      <c r="AD138" s="1141"/>
      <c r="AE138" s="1141"/>
      <c r="AF138" s="1141"/>
      <c r="AG138" s="1141"/>
      <c r="AH138" s="1141"/>
      <c r="AI138" s="1141"/>
      <c r="AJ138" s="1141"/>
      <c r="AK138" s="1141"/>
      <c r="AL138" s="1141"/>
      <c r="AM138" s="1141"/>
      <c r="AN138" s="1141"/>
      <c r="AO138" s="1141"/>
      <c r="AP138" s="1141"/>
      <c r="AQ138" s="1141"/>
      <c r="AR138" s="1141"/>
      <c r="AS138" s="1141"/>
      <c r="AT138" s="1141"/>
      <c r="AU138" s="1141"/>
      <c r="AV138" s="1141"/>
      <c r="AW138" s="1141"/>
      <c r="AX138" s="1141"/>
      <c r="AY138" s="1141"/>
      <c r="AZ138" s="1141"/>
      <c r="BA138" s="1141"/>
      <c r="BB138" s="1141"/>
      <c r="BC138" s="1141"/>
      <c r="BD138" s="1141"/>
      <c r="BE138" s="1141"/>
      <c r="BF138" s="1141"/>
      <c r="BG138" s="1141"/>
      <c r="BH138" s="1141"/>
      <c r="BI138" s="1141"/>
      <c r="BJ138" s="1141"/>
      <c r="BK138" s="1141"/>
      <c r="BL138" s="1141"/>
      <c r="BM138" s="1141"/>
      <c r="BN138" s="1141"/>
      <c r="BO138" s="1141"/>
      <c r="BP138" s="1141"/>
      <c r="BQ138" s="1141"/>
      <c r="BR138" s="1141"/>
      <c r="BS138" s="1141"/>
      <c r="BT138" s="1141"/>
      <c r="BU138" s="1141"/>
      <c r="BV138" s="1141"/>
      <c r="BW138" s="1141"/>
      <c r="BX138" s="1141"/>
      <c r="BY138" s="1141"/>
      <c r="BZ138" s="1141"/>
      <c r="CA138" s="1141"/>
      <c r="CB138" s="1141"/>
      <c r="CC138" s="1141"/>
      <c r="CD138" s="1141"/>
      <c r="CE138" s="1141"/>
      <c r="CF138" s="1141"/>
      <c r="CG138" s="1141"/>
      <c r="CH138" s="1141"/>
      <c r="CI138" s="1141"/>
      <c r="CJ138" s="1141"/>
      <c r="CK138" s="1141"/>
      <c r="CL138" s="1141"/>
      <c r="CM138" s="1141"/>
      <c r="CN138" s="1141"/>
      <c r="CO138" s="1141"/>
      <c r="CP138" s="1141"/>
    </row>
    <row r="139" spans="1:94">
      <c r="A139" s="1127"/>
      <c r="B139" s="1179"/>
      <c r="C139" s="1128"/>
      <c r="D139" s="1184"/>
      <c r="E139" s="1108"/>
      <c r="F139" s="1180"/>
      <c r="G139" s="1181"/>
      <c r="I139" s="1180"/>
      <c r="J139" s="1180"/>
      <c r="K139" s="1180"/>
      <c r="L139" s="1180"/>
      <c r="M139" s="1180"/>
      <c r="N139" s="1180"/>
      <c r="O139" s="1182"/>
      <c r="P139" s="1180"/>
      <c r="Q139" s="1180"/>
      <c r="R139" s="1183"/>
      <c r="S139" s="1140"/>
      <c r="T139" s="1141"/>
      <c r="U139" s="1141"/>
      <c r="V139" s="1141"/>
      <c r="W139" s="1141"/>
      <c r="X139" s="1141"/>
      <c r="Y139" s="1141"/>
      <c r="Z139" s="1141"/>
      <c r="AA139" s="1141"/>
      <c r="AB139" s="1141"/>
      <c r="AC139" s="1141"/>
      <c r="AD139" s="1141"/>
      <c r="AE139" s="1141"/>
      <c r="AF139" s="1141"/>
      <c r="AG139" s="1141"/>
      <c r="AH139" s="1141"/>
      <c r="AI139" s="1141"/>
      <c r="AJ139" s="1141"/>
      <c r="AK139" s="1141"/>
      <c r="AL139" s="1141"/>
      <c r="AM139" s="1141"/>
      <c r="AN139" s="1141"/>
      <c r="AO139" s="1141"/>
      <c r="AP139" s="1141"/>
      <c r="AQ139" s="1141"/>
      <c r="AR139" s="1141"/>
      <c r="AS139" s="1141"/>
      <c r="AT139" s="1141"/>
      <c r="AU139" s="1141"/>
      <c r="AV139" s="1141"/>
      <c r="AW139" s="1141"/>
      <c r="AX139" s="1141"/>
      <c r="AY139" s="1141"/>
      <c r="AZ139" s="1141"/>
      <c r="BA139" s="1141"/>
      <c r="BB139" s="1141"/>
      <c r="BC139" s="1141"/>
      <c r="BD139" s="1141"/>
      <c r="BE139" s="1141"/>
      <c r="BF139" s="1141"/>
      <c r="BG139" s="1141"/>
      <c r="BH139" s="1141"/>
      <c r="BI139" s="1141"/>
      <c r="BJ139" s="1141"/>
      <c r="BK139" s="1141"/>
      <c r="BL139" s="1141"/>
      <c r="BM139" s="1141"/>
      <c r="BN139" s="1141"/>
      <c r="BO139" s="1141"/>
      <c r="BP139" s="1141"/>
      <c r="BQ139" s="1141"/>
      <c r="BR139" s="1141"/>
      <c r="BS139" s="1141"/>
      <c r="BT139" s="1141"/>
      <c r="BU139" s="1141"/>
      <c r="BV139" s="1141"/>
      <c r="BW139" s="1141"/>
      <c r="BX139" s="1141"/>
      <c r="BY139" s="1141"/>
      <c r="BZ139" s="1141"/>
      <c r="CA139" s="1141"/>
      <c r="CB139" s="1141"/>
      <c r="CC139" s="1141"/>
      <c r="CD139" s="1141"/>
      <c r="CE139" s="1141"/>
      <c r="CF139" s="1141"/>
      <c r="CG139" s="1141"/>
      <c r="CH139" s="1141"/>
      <c r="CI139" s="1141"/>
      <c r="CJ139" s="1141"/>
      <c r="CK139" s="1141"/>
      <c r="CL139" s="1141"/>
      <c r="CM139" s="1141"/>
      <c r="CN139" s="1141"/>
      <c r="CO139" s="1141"/>
      <c r="CP139" s="1141"/>
    </row>
    <row r="140" spans="1:94">
      <c r="A140" s="1127"/>
      <c r="B140" s="1179"/>
      <c r="C140" s="1128"/>
      <c r="D140" s="1184"/>
      <c r="E140" s="1108"/>
      <c r="F140" s="1180"/>
      <c r="G140" s="1181"/>
      <c r="I140" s="1180"/>
      <c r="J140" s="1180"/>
      <c r="K140" s="1180"/>
      <c r="L140" s="1180"/>
      <c r="M140" s="1180"/>
      <c r="N140" s="1180"/>
      <c r="O140" s="1182"/>
      <c r="P140" s="1180"/>
      <c r="Q140" s="1180"/>
      <c r="R140" s="1183"/>
      <c r="S140" s="1140"/>
      <c r="T140" s="1141"/>
      <c r="U140" s="1141"/>
      <c r="V140" s="1141"/>
      <c r="W140" s="1141"/>
      <c r="X140" s="1141"/>
      <c r="Y140" s="1141"/>
      <c r="Z140" s="1141"/>
      <c r="AA140" s="1141"/>
      <c r="AB140" s="1141"/>
      <c r="AC140" s="1141"/>
      <c r="AD140" s="1141"/>
      <c r="AE140" s="1141"/>
      <c r="AF140" s="1141"/>
      <c r="AG140" s="1141"/>
      <c r="AH140" s="1141"/>
      <c r="AI140" s="1141"/>
      <c r="AJ140" s="1141"/>
      <c r="AK140" s="1141"/>
      <c r="AL140" s="1141"/>
      <c r="AM140" s="1141"/>
      <c r="AN140" s="1141"/>
      <c r="AO140" s="1141"/>
      <c r="AP140" s="1141"/>
      <c r="AQ140" s="1141"/>
      <c r="AR140" s="1141"/>
      <c r="AS140" s="1141"/>
      <c r="AT140" s="1141"/>
      <c r="AU140" s="1141"/>
      <c r="AV140" s="1141"/>
      <c r="AW140" s="1141"/>
      <c r="AX140" s="1141"/>
      <c r="AY140" s="1141"/>
      <c r="AZ140" s="1141"/>
      <c r="BA140" s="1141"/>
      <c r="BB140" s="1141"/>
      <c r="BC140" s="1141"/>
      <c r="BD140" s="1141"/>
      <c r="BE140" s="1141"/>
      <c r="BF140" s="1141"/>
      <c r="BG140" s="1141"/>
      <c r="BH140" s="1141"/>
      <c r="BI140" s="1141"/>
      <c r="BJ140" s="1141"/>
      <c r="BK140" s="1141"/>
      <c r="BL140" s="1141"/>
      <c r="BM140" s="1141"/>
      <c r="BN140" s="1141"/>
      <c r="BO140" s="1141"/>
      <c r="BP140" s="1141"/>
      <c r="BQ140" s="1141"/>
      <c r="BR140" s="1141"/>
      <c r="BS140" s="1141"/>
      <c r="BT140" s="1141"/>
      <c r="BU140" s="1141"/>
      <c r="BV140" s="1141"/>
      <c r="BW140" s="1141"/>
      <c r="BX140" s="1141"/>
      <c r="BY140" s="1141"/>
      <c r="BZ140" s="1141"/>
      <c r="CA140" s="1141"/>
      <c r="CB140" s="1141"/>
      <c r="CC140" s="1141"/>
      <c r="CD140" s="1141"/>
      <c r="CE140" s="1141"/>
      <c r="CF140" s="1141"/>
      <c r="CG140" s="1141"/>
      <c r="CH140" s="1141"/>
      <c r="CI140" s="1141"/>
      <c r="CJ140" s="1141"/>
      <c r="CK140" s="1141"/>
      <c r="CL140" s="1141"/>
      <c r="CM140" s="1141"/>
      <c r="CN140" s="1141"/>
      <c r="CO140" s="1141"/>
      <c r="CP140" s="1141"/>
    </row>
    <row r="141" spans="1:94">
      <c r="A141" s="1127"/>
      <c r="B141" s="1179"/>
      <c r="C141" s="1128"/>
      <c r="D141" s="1184"/>
      <c r="E141" s="1108"/>
      <c r="F141" s="1180"/>
      <c r="G141" s="1181"/>
      <c r="I141" s="1180"/>
      <c r="J141" s="1180"/>
      <c r="K141" s="1180"/>
      <c r="L141" s="1180"/>
      <c r="M141" s="1180"/>
      <c r="N141" s="1180"/>
      <c r="O141" s="1182"/>
      <c r="P141" s="1180"/>
      <c r="Q141" s="1180"/>
      <c r="R141" s="1183"/>
      <c r="S141" s="1140"/>
      <c r="T141" s="1141"/>
      <c r="U141" s="1141"/>
      <c r="V141" s="1141"/>
      <c r="W141" s="1141"/>
      <c r="X141" s="1141"/>
      <c r="Y141" s="1141"/>
      <c r="Z141" s="1141"/>
      <c r="AA141" s="1141"/>
      <c r="AB141" s="1141"/>
      <c r="AC141" s="1141"/>
      <c r="AD141" s="1141"/>
      <c r="AE141" s="1141"/>
      <c r="AF141" s="1141"/>
      <c r="AG141" s="1141"/>
      <c r="AH141" s="1141"/>
      <c r="AI141" s="1141"/>
      <c r="AJ141" s="1141"/>
      <c r="AK141" s="1141"/>
      <c r="AL141" s="1141"/>
      <c r="AM141" s="1141"/>
      <c r="AN141" s="1141"/>
      <c r="AO141" s="1141"/>
      <c r="AP141" s="1141"/>
      <c r="AQ141" s="1141"/>
      <c r="AR141" s="1141"/>
      <c r="AS141" s="1141"/>
      <c r="AT141" s="1141"/>
      <c r="AU141" s="1141"/>
      <c r="AV141" s="1141"/>
      <c r="AW141" s="1141"/>
      <c r="AX141" s="1141"/>
      <c r="AY141" s="1141"/>
      <c r="AZ141" s="1141"/>
      <c r="BA141" s="1141"/>
      <c r="BB141" s="1141"/>
      <c r="BC141" s="1141"/>
      <c r="BD141" s="1141"/>
      <c r="BE141" s="1141"/>
      <c r="BF141" s="1141"/>
      <c r="BG141" s="1141"/>
      <c r="BH141" s="1141"/>
      <c r="BI141" s="1141"/>
      <c r="BJ141" s="1141"/>
      <c r="BK141" s="1141"/>
      <c r="BL141" s="1141"/>
      <c r="BM141" s="1141"/>
      <c r="BN141" s="1141"/>
      <c r="BO141" s="1141"/>
      <c r="BP141" s="1141"/>
      <c r="BQ141" s="1141"/>
      <c r="BR141" s="1141"/>
      <c r="BS141" s="1141"/>
      <c r="BT141" s="1141"/>
      <c r="BU141" s="1141"/>
      <c r="BV141" s="1141"/>
      <c r="BW141" s="1141"/>
      <c r="BX141" s="1141"/>
      <c r="BY141" s="1141"/>
      <c r="BZ141" s="1141"/>
      <c r="CA141" s="1141"/>
      <c r="CB141" s="1141"/>
      <c r="CC141" s="1141"/>
      <c r="CD141" s="1141"/>
      <c r="CE141" s="1141"/>
      <c r="CF141" s="1141"/>
      <c r="CG141" s="1141"/>
      <c r="CH141" s="1141"/>
      <c r="CI141" s="1141"/>
      <c r="CJ141" s="1141"/>
      <c r="CK141" s="1141"/>
      <c r="CL141" s="1141"/>
      <c r="CM141" s="1141"/>
      <c r="CN141" s="1141"/>
      <c r="CO141" s="1141"/>
      <c r="CP141" s="1141"/>
    </row>
    <row r="142" spans="1:94">
      <c r="A142" s="1127"/>
      <c r="B142" s="1179"/>
      <c r="C142" s="1128"/>
      <c r="D142" s="1184"/>
      <c r="E142" s="1108"/>
      <c r="F142" s="1180"/>
      <c r="G142" s="1181"/>
      <c r="I142" s="1180"/>
      <c r="J142" s="1180"/>
      <c r="K142" s="1180"/>
      <c r="L142" s="1180"/>
      <c r="M142" s="1180"/>
      <c r="N142" s="1180"/>
      <c r="O142" s="1182"/>
      <c r="P142" s="1180"/>
      <c r="Q142" s="1180"/>
      <c r="R142" s="1183"/>
      <c r="S142" s="1140"/>
      <c r="T142" s="1141"/>
      <c r="U142" s="1141"/>
      <c r="V142" s="1141"/>
      <c r="W142" s="1141"/>
      <c r="X142" s="1141"/>
      <c r="Y142" s="1141"/>
      <c r="Z142" s="1141"/>
      <c r="AA142" s="1141"/>
      <c r="AB142" s="1141"/>
      <c r="AC142" s="1141"/>
      <c r="AD142" s="1141"/>
      <c r="AE142" s="1141"/>
      <c r="AF142" s="1141"/>
      <c r="AG142" s="1141"/>
      <c r="AH142" s="1141"/>
      <c r="AI142" s="1141"/>
      <c r="AJ142" s="1141"/>
      <c r="AK142" s="1141"/>
      <c r="AL142" s="1141"/>
      <c r="AM142" s="1141"/>
      <c r="AN142" s="1141"/>
      <c r="AO142" s="1141"/>
      <c r="AP142" s="1141"/>
      <c r="AQ142" s="1141"/>
      <c r="AR142" s="1141"/>
      <c r="AS142" s="1141"/>
      <c r="AT142" s="1141"/>
      <c r="AU142" s="1141"/>
      <c r="AV142" s="1141"/>
      <c r="AW142" s="1141"/>
      <c r="AX142" s="1141"/>
      <c r="AY142" s="1141"/>
      <c r="AZ142" s="1141"/>
      <c r="BA142" s="1141"/>
      <c r="BB142" s="1141"/>
      <c r="BC142" s="1141"/>
      <c r="BD142" s="1141"/>
      <c r="BE142" s="1141"/>
      <c r="BF142" s="1141"/>
      <c r="BG142" s="1141"/>
      <c r="BH142" s="1141"/>
      <c r="BI142" s="1141"/>
      <c r="BJ142" s="1141"/>
      <c r="BK142" s="1141"/>
      <c r="BL142" s="1141"/>
      <c r="BM142" s="1141"/>
      <c r="BN142" s="1141"/>
      <c r="BO142" s="1141"/>
      <c r="BP142" s="1141"/>
      <c r="BQ142" s="1141"/>
      <c r="BR142" s="1141"/>
      <c r="BS142" s="1141"/>
      <c r="BT142" s="1141"/>
      <c r="BU142" s="1141"/>
      <c r="BV142" s="1141"/>
      <c r="BW142" s="1141"/>
      <c r="BX142" s="1141"/>
      <c r="BY142" s="1141"/>
      <c r="BZ142" s="1141"/>
      <c r="CA142" s="1141"/>
      <c r="CB142" s="1141"/>
      <c r="CC142" s="1141"/>
      <c r="CD142" s="1141"/>
      <c r="CE142" s="1141"/>
      <c r="CF142" s="1141"/>
      <c r="CG142" s="1141"/>
      <c r="CH142" s="1141"/>
      <c r="CI142" s="1141"/>
      <c r="CJ142" s="1141"/>
      <c r="CK142" s="1141"/>
      <c r="CL142" s="1141"/>
      <c r="CM142" s="1141"/>
      <c r="CN142" s="1141"/>
      <c r="CO142" s="1141"/>
      <c r="CP142" s="1141"/>
    </row>
    <row r="143" spans="1:94">
      <c r="A143" s="1127"/>
      <c r="B143" s="1179"/>
      <c r="C143" s="1128"/>
      <c r="D143" s="1184"/>
      <c r="E143" s="1108"/>
      <c r="F143" s="1180"/>
      <c r="G143" s="1181"/>
      <c r="I143" s="1180"/>
      <c r="J143" s="1180"/>
      <c r="K143" s="1180"/>
      <c r="L143" s="1180"/>
      <c r="M143" s="1180"/>
      <c r="N143" s="1180"/>
      <c r="O143" s="1182"/>
      <c r="P143" s="1180"/>
      <c r="Q143" s="1180"/>
      <c r="R143" s="1183"/>
      <c r="S143" s="1140"/>
      <c r="T143" s="1141"/>
      <c r="U143" s="1141"/>
      <c r="V143" s="1141"/>
      <c r="W143" s="1141"/>
      <c r="X143" s="1141"/>
      <c r="Y143" s="1141"/>
      <c r="Z143" s="1141"/>
      <c r="AA143" s="1141"/>
      <c r="AB143" s="1141"/>
      <c r="AC143" s="1141"/>
      <c r="AD143" s="1141"/>
      <c r="AE143" s="1141"/>
      <c r="AF143" s="1141"/>
      <c r="AG143" s="1141"/>
      <c r="AH143" s="1141"/>
      <c r="AI143" s="1141"/>
      <c r="AJ143" s="1141"/>
      <c r="AK143" s="1141"/>
      <c r="AL143" s="1141"/>
      <c r="AM143" s="1141"/>
      <c r="AN143" s="1141"/>
      <c r="AO143" s="1141"/>
      <c r="AP143" s="1141"/>
      <c r="AQ143" s="1141"/>
      <c r="AR143" s="1141"/>
      <c r="AS143" s="1141"/>
      <c r="AT143" s="1141"/>
      <c r="AU143" s="1141"/>
      <c r="AV143" s="1141"/>
      <c r="AW143" s="1141"/>
      <c r="AX143" s="1141"/>
      <c r="AY143" s="1141"/>
      <c r="AZ143" s="1141"/>
      <c r="BA143" s="1141"/>
      <c r="BB143" s="1141"/>
      <c r="BC143" s="1141"/>
      <c r="BD143" s="1141"/>
      <c r="BE143" s="1141"/>
      <c r="BF143" s="1141"/>
      <c r="BG143" s="1141"/>
      <c r="BH143" s="1141"/>
      <c r="BI143" s="1141"/>
      <c r="BJ143" s="1141"/>
      <c r="BK143" s="1141"/>
      <c r="BL143" s="1141"/>
      <c r="BM143" s="1141"/>
      <c r="BN143" s="1141"/>
      <c r="BO143" s="1141"/>
      <c r="BP143" s="1141"/>
      <c r="BQ143" s="1141"/>
      <c r="BR143" s="1141"/>
      <c r="BS143" s="1141"/>
      <c r="BT143" s="1141"/>
      <c r="BU143" s="1141"/>
      <c r="BV143" s="1141"/>
      <c r="BW143" s="1141"/>
      <c r="BX143" s="1141"/>
      <c r="BY143" s="1141"/>
      <c r="BZ143" s="1141"/>
      <c r="CA143" s="1141"/>
      <c r="CB143" s="1141"/>
      <c r="CC143" s="1141"/>
      <c r="CD143" s="1141"/>
      <c r="CE143" s="1141"/>
      <c r="CF143" s="1141"/>
      <c r="CG143" s="1141"/>
      <c r="CH143" s="1141"/>
      <c r="CI143" s="1141"/>
      <c r="CJ143" s="1141"/>
      <c r="CK143" s="1141"/>
      <c r="CL143" s="1141"/>
      <c r="CM143" s="1141"/>
      <c r="CN143" s="1141"/>
      <c r="CO143" s="1141"/>
      <c r="CP143" s="1141"/>
    </row>
    <row r="144" spans="1:94">
      <c r="A144" s="1127"/>
      <c r="B144" s="1179"/>
      <c r="C144" s="1128"/>
      <c r="D144" s="1184"/>
      <c r="E144" s="1108"/>
      <c r="F144" s="1180"/>
      <c r="G144" s="1181"/>
      <c r="I144" s="1180"/>
      <c r="J144" s="1180"/>
      <c r="K144" s="1180"/>
      <c r="L144" s="1180"/>
      <c r="M144" s="1180"/>
      <c r="N144" s="1180"/>
      <c r="O144" s="1182"/>
      <c r="P144" s="1180"/>
      <c r="Q144" s="1180"/>
      <c r="R144" s="1183"/>
      <c r="S144" s="1140"/>
      <c r="T144" s="1141"/>
      <c r="U144" s="1141"/>
      <c r="V144" s="1141"/>
      <c r="W144" s="1141"/>
      <c r="X144" s="1141"/>
      <c r="Y144" s="1141"/>
      <c r="Z144" s="1141"/>
      <c r="AA144" s="1141"/>
      <c r="AB144" s="1141"/>
      <c r="AC144" s="1141"/>
      <c r="AD144" s="1141"/>
      <c r="AE144" s="1141"/>
      <c r="AF144" s="1141"/>
      <c r="AG144" s="1141"/>
      <c r="AH144" s="1141"/>
      <c r="AI144" s="1141"/>
      <c r="AJ144" s="1141"/>
      <c r="AK144" s="1141"/>
      <c r="AL144" s="1141"/>
      <c r="AM144" s="1141"/>
      <c r="AN144" s="1141"/>
      <c r="AO144" s="1141"/>
      <c r="AP144" s="1141"/>
      <c r="AQ144" s="1141"/>
      <c r="AR144" s="1141"/>
      <c r="AS144" s="1141"/>
      <c r="AT144" s="1141"/>
      <c r="AU144" s="1141"/>
      <c r="AV144" s="1141"/>
      <c r="AW144" s="1141"/>
      <c r="AX144" s="1141"/>
      <c r="AY144" s="1141"/>
      <c r="AZ144" s="1141"/>
      <c r="BA144" s="1141"/>
      <c r="BB144" s="1141"/>
      <c r="BC144" s="1141"/>
      <c r="BD144" s="1141"/>
      <c r="BE144" s="1141"/>
      <c r="BF144" s="1141"/>
      <c r="BG144" s="1141"/>
      <c r="BH144" s="1141"/>
      <c r="BI144" s="1141"/>
      <c r="BJ144" s="1141"/>
      <c r="BK144" s="1141"/>
      <c r="BL144" s="1141"/>
      <c r="BM144" s="1141"/>
      <c r="BN144" s="1141"/>
      <c r="BO144" s="1141"/>
      <c r="BP144" s="1141"/>
      <c r="BQ144" s="1141"/>
      <c r="BR144" s="1141"/>
      <c r="BS144" s="1141"/>
      <c r="BT144" s="1141"/>
      <c r="BU144" s="1141"/>
      <c r="BV144" s="1141"/>
      <c r="BW144" s="1141"/>
      <c r="BX144" s="1141"/>
      <c r="BY144" s="1141"/>
      <c r="BZ144" s="1141"/>
      <c r="CA144" s="1141"/>
      <c r="CB144" s="1141"/>
      <c r="CC144" s="1141"/>
      <c r="CD144" s="1141"/>
      <c r="CE144" s="1141"/>
      <c r="CF144" s="1141"/>
      <c r="CG144" s="1141"/>
      <c r="CH144" s="1141"/>
      <c r="CI144" s="1141"/>
      <c r="CJ144" s="1141"/>
      <c r="CK144" s="1141"/>
      <c r="CL144" s="1141"/>
      <c r="CM144" s="1141"/>
      <c r="CN144" s="1141"/>
      <c r="CO144" s="1141"/>
      <c r="CP144" s="1141"/>
    </row>
    <row r="145" spans="5:5">
      <c r="E145" s="1108"/>
    </row>
    <row r="146" spans="5:5">
      <c r="E146" s="1108"/>
    </row>
    <row r="147" spans="5:5">
      <c r="E147" s="1108"/>
    </row>
    <row r="148" spans="5:5">
      <c r="E148" s="1108"/>
    </row>
    <row r="149" spans="5:5">
      <c r="E149" s="1108"/>
    </row>
    <row r="150" spans="5:5">
      <c r="E150" s="1108"/>
    </row>
    <row r="151" spans="5:5">
      <c r="E151" s="1108"/>
    </row>
    <row r="152" spans="5:5">
      <c r="E152" s="1108"/>
    </row>
    <row r="153" spans="5:5">
      <c r="E153" s="1108"/>
    </row>
    <row r="154" spans="5:5">
      <c r="E154" s="1108"/>
    </row>
    <row r="155" spans="5:5">
      <c r="E155" s="1108"/>
    </row>
    <row r="156" spans="5:5">
      <c r="E156" s="1108"/>
    </row>
    <row r="157" spans="5:5">
      <c r="E157" s="1108"/>
    </row>
    <row r="158" spans="5:5">
      <c r="E158" s="1108"/>
    </row>
    <row r="159" spans="5:5">
      <c r="E159" s="1108"/>
    </row>
    <row r="160" spans="5:5">
      <c r="E160" s="1108"/>
    </row>
    <row r="161" spans="5:5">
      <c r="E161" s="1108"/>
    </row>
    <row r="162" spans="5:5">
      <c r="E162" s="1108"/>
    </row>
    <row r="163" spans="5:5">
      <c r="E163" s="1108"/>
    </row>
    <row r="164" spans="5:5">
      <c r="E164" s="1108"/>
    </row>
    <row r="165" spans="5:5">
      <c r="E165" s="1108"/>
    </row>
    <row r="166" spans="5:5">
      <c r="E166" s="1108"/>
    </row>
    <row r="167" spans="5:5">
      <c r="E167" s="1108"/>
    </row>
    <row r="168" spans="5:5">
      <c r="E168" s="1108"/>
    </row>
    <row r="169" spans="5:5">
      <c r="E169" s="1108"/>
    </row>
    <row r="170" spans="5:5">
      <c r="E170" s="1108"/>
    </row>
    <row r="171" spans="5:5">
      <c r="E171" s="1108"/>
    </row>
    <row r="172" spans="5:5">
      <c r="E172" s="1108"/>
    </row>
    <row r="173" spans="5:5">
      <c r="E173" s="1108"/>
    </row>
    <row r="174" spans="5:5">
      <c r="E174" s="1108"/>
    </row>
    <row r="175" spans="5:5">
      <c r="E175" s="1108"/>
    </row>
    <row r="176" spans="5:5">
      <c r="E176" s="1108"/>
    </row>
    <row r="177" spans="5:5">
      <c r="E177" s="1108"/>
    </row>
    <row r="178" spans="5:5">
      <c r="E178" s="1108"/>
    </row>
    <row r="179" spans="5:5">
      <c r="E179" s="1108"/>
    </row>
    <row r="180" spans="5:5">
      <c r="E180" s="1108"/>
    </row>
    <row r="181" spans="5:5">
      <c r="E181" s="1108"/>
    </row>
    <row r="182" spans="5:5">
      <c r="E182" s="1108"/>
    </row>
    <row r="183" spans="5:5">
      <c r="E183" s="1108"/>
    </row>
    <row r="184" spans="5:5">
      <c r="E184" s="1108"/>
    </row>
    <row r="185" spans="5:5">
      <c r="E185" s="1108"/>
    </row>
    <row r="186" spans="5:5">
      <c r="E186" s="1108"/>
    </row>
    <row r="187" spans="5:5">
      <c r="E187" s="1108"/>
    </row>
    <row r="188" spans="5:5">
      <c r="E188" s="1108"/>
    </row>
    <row r="189" spans="5:5">
      <c r="E189" s="1108"/>
    </row>
    <row r="190" spans="5:5">
      <c r="E190" s="1108"/>
    </row>
    <row r="191" spans="5:5">
      <c r="E191" s="1108"/>
    </row>
    <row r="192" spans="5:5">
      <c r="E192" s="1108"/>
    </row>
    <row r="193" spans="5:5">
      <c r="E193" s="1108"/>
    </row>
    <row r="194" spans="5:5">
      <c r="E194" s="1108"/>
    </row>
    <row r="195" spans="5:5">
      <c r="E195" s="1108"/>
    </row>
    <row r="196" spans="5:5">
      <c r="E196" s="1108"/>
    </row>
    <row r="197" spans="5:5">
      <c r="E197" s="1108"/>
    </row>
    <row r="198" spans="5:5">
      <c r="E198" s="1108"/>
    </row>
    <row r="199" spans="5:5">
      <c r="E199" s="1108"/>
    </row>
    <row r="200" spans="5:5">
      <c r="E200" s="1108"/>
    </row>
    <row r="201" spans="5:5">
      <c r="E201" s="1108"/>
    </row>
    <row r="202" spans="5:5">
      <c r="E202" s="1108"/>
    </row>
    <row r="203" spans="5:5">
      <c r="E203" s="1108"/>
    </row>
    <row r="204" spans="5:5">
      <c r="E204" s="1108"/>
    </row>
    <row r="205" spans="5:5">
      <c r="E205" s="1108"/>
    </row>
    <row r="206" spans="5:5">
      <c r="E206" s="1108"/>
    </row>
    <row r="207" spans="5:5">
      <c r="E207" s="1108"/>
    </row>
    <row r="208" spans="5:5">
      <c r="E208" s="1108"/>
    </row>
    <row r="209" spans="5:5">
      <c r="E209" s="1108"/>
    </row>
    <row r="210" spans="5:5">
      <c r="E210" s="1108"/>
    </row>
    <row r="211" spans="5:5">
      <c r="E211" s="1108"/>
    </row>
    <row r="212" spans="5:5">
      <c r="E212" s="1108"/>
    </row>
    <row r="213" spans="5:5">
      <c r="E213" s="1108"/>
    </row>
    <row r="214" spans="5:5">
      <c r="E214" s="1108"/>
    </row>
    <row r="215" spans="5:5">
      <c r="E215" s="1108"/>
    </row>
    <row r="216" spans="5:5">
      <c r="E216" s="1108"/>
    </row>
    <row r="217" spans="5:5">
      <c r="E217" s="1108"/>
    </row>
    <row r="218" spans="5:5">
      <c r="E218" s="1108"/>
    </row>
    <row r="219" spans="5:5">
      <c r="E219" s="1108"/>
    </row>
    <row r="220" spans="5:5">
      <c r="E220" s="1108"/>
    </row>
    <row r="221" spans="5:5">
      <c r="E221" s="1108"/>
    </row>
    <row r="222" spans="5:5">
      <c r="E222" s="1108"/>
    </row>
    <row r="223" spans="5:5">
      <c r="E223" s="1108"/>
    </row>
    <row r="224" spans="5:5">
      <c r="E224" s="1108"/>
    </row>
    <row r="225" spans="5:5">
      <c r="E225" s="1108"/>
    </row>
    <row r="226" spans="5:5">
      <c r="E226" s="1108"/>
    </row>
    <row r="227" spans="5:5">
      <c r="E227" s="1108"/>
    </row>
    <row r="228" spans="5:5">
      <c r="E228" s="1108"/>
    </row>
    <row r="229" spans="5:5">
      <c r="E229" s="1108"/>
    </row>
    <row r="230" spans="5:5">
      <c r="E230" s="1108"/>
    </row>
    <row r="231" spans="5:5">
      <c r="E231" s="1108"/>
    </row>
    <row r="232" spans="5:5">
      <c r="E232" s="1108"/>
    </row>
    <row r="233" spans="5:5">
      <c r="E233" s="1108"/>
    </row>
    <row r="234" spans="5:5">
      <c r="E234" s="1108"/>
    </row>
    <row r="235" spans="5:5">
      <c r="E235" s="1108"/>
    </row>
    <row r="236" spans="5:5">
      <c r="E236" s="1108"/>
    </row>
    <row r="237" spans="5:5">
      <c r="E237" s="1108"/>
    </row>
    <row r="238" spans="5:5">
      <c r="E238" s="1108"/>
    </row>
    <row r="239" spans="5:5">
      <c r="E239" s="1108"/>
    </row>
    <row r="240" spans="5:5">
      <c r="E240" s="1108"/>
    </row>
    <row r="241" spans="5:5">
      <c r="E241" s="1108"/>
    </row>
    <row r="242" spans="5:5">
      <c r="E242" s="1108"/>
    </row>
    <row r="243" spans="5:5">
      <c r="E243" s="1108"/>
    </row>
    <row r="244" spans="5:5">
      <c r="E244" s="1108"/>
    </row>
    <row r="245" spans="5:5">
      <c r="E245" s="1108"/>
    </row>
    <row r="246" spans="5:5">
      <c r="E246" s="1108"/>
    </row>
    <row r="247" spans="5:5">
      <c r="E247" s="1108"/>
    </row>
    <row r="248" spans="5:5">
      <c r="E248" s="1108"/>
    </row>
    <row r="249" spans="5:5">
      <c r="E249" s="1108"/>
    </row>
    <row r="250" spans="5:5">
      <c r="E250" s="1108"/>
    </row>
    <row r="251" spans="5:5">
      <c r="E251" s="1108"/>
    </row>
    <row r="252" spans="5:5">
      <c r="E252" s="1108"/>
    </row>
    <row r="253" spans="5:5">
      <c r="E253" s="1108"/>
    </row>
    <row r="254" spans="5:5">
      <c r="E254" s="1108"/>
    </row>
    <row r="255" spans="5:5">
      <c r="E255" s="1108"/>
    </row>
    <row r="256" spans="5:5">
      <c r="E256" s="1108"/>
    </row>
    <row r="257" spans="5:5">
      <c r="E257" s="1108"/>
    </row>
  </sheetData>
  <sheetProtection algorithmName="SHA-512" hashValue="sftqYX1u3R3UNzPIfOd2JCuFhXJuWFegerNbfU2EPNypAj+0r86xtXqNkbZI2UAZzpVS6dQOegUJCHCEJmVyVg==" saltValue="eQq95/tnWJlN1wYXZYXWNw==" spinCount="100000" sheet="1" objects="1" scenarios="1"/>
  <mergeCells count="17">
    <mergeCell ref="I1:N1"/>
    <mergeCell ref="P1:R1"/>
    <mergeCell ref="B80:C80"/>
    <mergeCell ref="B97:C97"/>
    <mergeCell ref="B12:C12"/>
    <mergeCell ref="B19:C19"/>
    <mergeCell ref="B31:C31"/>
    <mergeCell ref="B39:C39"/>
    <mergeCell ref="B47:C47"/>
    <mergeCell ref="B58:C58"/>
    <mergeCell ref="B127:C127"/>
    <mergeCell ref="B132:C132"/>
    <mergeCell ref="B133:C133"/>
    <mergeCell ref="B103:C103"/>
    <mergeCell ref="B108:C108"/>
    <mergeCell ref="B113:C113"/>
    <mergeCell ref="B119:C119"/>
  </mergeCells>
  <phoneticPr fontId="53" type="noConversion"/>
  <dataValidations xWindow="562" yWindow="342" count="38">
    <dataValidation type="list" allowBlank="1" showInputMessage="1" showErrorMessage="1" errorTitle="Select From the List" error="You must select one of the options from the drop down list." promptTitle="Calculation Method" prompt="The calculation method determines the value that appears in Column D - Amount. Per Unit = # of residential units. % of Net CC = percent of Net Construction Costs (D13 value). Site Square Feet and Building Square Feet are entered on the Setup tab. " sqref="F13:F15" xr:uid="{00000000-0002-0000-0300-000000000000}">
      <formula1>List22</formula1>
    </dataValidation>
    <dataValidation type="list" allowBlank="1" showInputMessage="1" showErrorMessage="1" errorTitle="Select From the List" error="You must select one of the options from the drop down list." promptTitle="Calculation Method" prompt="The calculation method determines the value that appears in Column D - Amount. Per Unit = # of residential units. % of Net CC = percent of Net Construction Costs (D13 value). Site Square Feet and Building Square Feet are entered on the Setup tab. " sqref="F125:F126 F20:F29 F16:F18 F59:F79 F81:F94 F96 F98:F102 F104:F107 F109:F112 F115:F118 F128:F131 F6:F11 F3:F4 F121:F123 F49:F57" xr:uid="{00000000-0002-0000-0300-000001000000}">
      <formula1>Stored1</formula1>
    </dataValidation>
    <dataValidation allowBlank="1" showInputMessage="1" showErrorMessage="1" promptTitle="Subtotals" prompt="Subtotals and grand totals are automatically computed and cannot be overwritten." sqref="D47:IV47 D39:IV39 D132:IV133 D80:IV80 D97:IV97 D103:IV103 D108:IV108 D113:IV113 D119:IV119 D127:IV127 A127:B127 A119:B119 A113:B113 A108:B108 A103:B103 A97:B97 A80:B80 A58:B58 A47:B47 A132:B133 D31:IV31 A31:B31 A39:B39 D19:IV19 A19:B19 A12:B12 D12:IV12 D58:IV58" xr:uid="{00000000-0002-0000-0300-000002000000}"/>
    <dataValidation allowBlank="1" showInputMessage="1" promptTitle="Per Unit Cost" prompt="This is a calculated field that = Total Amount (Column D) / Total Number of Residential Units." sqref="G120:G126 G114:G118 G109:G112 G104:G107 G98:G102 G81:G96 G59:G79 G128:G131 G40:G46 G32:G38 G20:G30 G3:G11 G13:G18 G48:G57" xr:uid="{00000000-0002-0000-0300-000003000000}"/>
    <dataValidation allowBlank="1" showInputMessage="1" showErrorMessage="1" promptTitle="Depreciable Costs" prompt="The amount of each development cost that is depreciable is defaulted as a percentage of the Amount. The value can be overridden if necessary." sqref="I120:K126 I114:K118 I109:K112 I104:K107 I98:K102 I81:K96 I59:K79 I40:K46 I128:K131 I32:K38 I20:K30 I13:K18 I3:K11 I48:K57" xr:uid="{00000000-0002-0000-0300-000004000000}"/>
    <dataValidation allowBlank="1" showInputMessage="1" showErrorMessage="1" promptTitle="Depreciable but Ineligible" prompt="Enter the amount of costs that are depreciable but ineligible for the LIHTC Credit. This amount is defaulted based on the % Ineligible entered on the Setup Tab (cell M2) but can be overridden." sqref="L114:L118 L109:L112 L104:L107 L98:L102 L81:L96 L59:L79 L128:L131 L120:L126 L32:L38 L20:L30 L13:L18 L3:L11 L40:L46" xr:uid="{00000000-0002-0000-0300-000005000000}"/>
    <dataValidation allowBlank="1" showInputMessage="1" showErrorMessage="1" promptTitle="Depreciable but Ineligible" prompt="Enter the amount of costs that are depreciable but ineligible for the  Historic Credit. This amount is defaulted based on the % Ineligible entered on the Setup Tab (cell M19)" sqref="M128:M131 M114:M118 M109:M112 M104:M107 M98:M102 M81:M96 M59:M79 M40:M46 M120:M126 M32:M38 M20:M30 M13:M18 M48:M57" xr:uid="{00000000-0002-0000-0300-000006000000}"/>
    <dataValidation allowBlank="1" showInputMessage="1" showErrorMessage="1" promptTitle="Amortized / Non-Depreciable" prompt="This value is calculated as Amount minus all Depreciables (columns I-K) and cannot be overridden." sqref="N120:N126 N114:N118 N109:N112 N104:N107 N98:N102 N81:N96 N59:N79 N40:N46 N128:N131 N32:N38 N20:N30 N13:N18 N3:N11 N48:N57" xr:uid="{00000000-0002-0000-0300-000007000000}"/>
    <dataValidation allowBlank="1" showInputMessage="1" showErrorMessage="1" promptTitle="Acquisition LIHTC Eligible" prompt="Only acquisition costs count toward the acquisition LIHTC credit. " sqref="P128:P131 P40:P46 P59:P79 P81:P96 P98:P102 P104:P107 P109:P112 P114:P118 P120:P126 P32:P38 P20:P30 P13:P18 P48:P57" xr:uid="{00000000-0002-0000-0300-000008000000}"/>
    <dataValidation allowBlank="1" showInputMessage="1" showErrorMessage="1" promptTitle="Rehab LIHTC Eligible" prompt="LIHTC eligible is calculated as sum of all Depreciable Costs (columns I, J, and K) less Column L (LIHTC Ineligible). This value can be overwritten." sqref="Q120:Q126 Q114:Q118 Q109:Q112 Q104:Q107 Q98:Q102 Q81:Q96 Q59:Q79 Q40:Q46 Q128:Q131 Q32:Q38 Q20:Q30 Q13:Q18 Q48:Q57" xr:uid="{00000000-0002-0000-0300-000009000000}"/>
    <dataValidation allowBlank="1" showInputMessage="1" showErrorMessage="1" promptTitle="Historic Eligible" prompt="Historic eligible is calculated as Depreciable Building Basis (column I) less Column M (Historic Ineligible). This value can be overwritten." sqref="R128:R131 R40:R46 R59:R79 R81:R96 R109:R112 R104:R107 R98:R102 R114:R118 R120:R126 R32:R38 R20:R30 R13:R18 R48:R57" xr:uid="{00000000-0002-0000-0300-00000A000000}"/>
    <dataValidation allowBlank="1" showInputMessage="1" showErrorMessage="1" promptTitle="Enter Amount Here" prompt="Enter the value that you want the Amount based on. This Value * the Calculation Method will = the Amount. If Calculation Method = Amount, the same value will appear in the Amount column as here." sqref="E128:E131 E81:E94 E20:E29 E6:E11 E96 E98:E102 E104:E107 E109:E112 E115:E118 E59:E79 E121:E123 E13:E18 E3:E4 E48:E56 E125:E126 E32:E37 E40:E45" xr:uid="{00000000-0002-0000-0300-00000B000000}"/>
    <dataValidation allowBlank="1" showInputMessage="1" showErrorMessage="1" promptTitle="Construction Interest" prompt="The construction interest is defaulted to the sum of all interest entered on the Sources tab (cell I24)." sqref="E95" xr:uid="{00000000-0002-0000-0300-00000C000000}"/>
    <dataValidation allowBlank="1" showInputMessage="1" showErrorMessage="1" promptTitle="Development Cost Amounts" prompt="All amounts are computed based on the values entered into the E and F columns. Values cannot be entered here.  " sqref="D120:D126 D98:D102 D40:D46 D81:D96 D114:D118 D104:D107 D128:D131 D13:D18 D32:D38 D48:D57 D6:D11 D3:D4 D59:D79 D20:D30 D109:D112" xr:uid="{00000000-0002-0000-0300-00000D000000}"/>
    <dataValidation allowBlank="1" showInputMessage="1" showErrorMessage="1" promptTitle="Line Item Names" prompt="The names of line items cannot be modified. Use the Comments field (Column H) to explain true nature of cost." sqref="C114:C118 C128:C131 C134:C65539 C120:C126 C40:C46 C59:C79 C81:C96 C98:C102 C104:C107 C109:C112 C32:C38 C20:C30 C17:C18 C13:C15 C3:C4 B2 C6:C11 C55:C57 C48:C53" xr:uid="{00000000-0002-0000-0300-00000E000000}"/>
    <dataValidation type="list" allowBlank="1" showInputMessage="1" showErrorMessage="1" errorTitle="Select From the List" error="You must select one of the options from the drop down list." promptTitle="Calculation Method" prompt="The calculation method determines the value that appears in the Amount column (D). Per Unit = # of residential units. % of Net CC = percent of Net Construction Costs (D48 value). Site Square Feet and Building Square Feet are entered on the Setup tab. " sqref="F57" xr:uid="{00000000-0002-0000-0300-00000F000000}">
      <formula1>Stored1</formula1>
    </dataValidation>
    <dataValidation type="list" allowBlank="1" showInputMessage="1" showErrorMessage="1" errorTitle="Select From the List" error="You must select one of the options from the drop down list." promptTitle="Construction Interest" prompt="The construction interest is defaulted to the sum of all interest entered on the Sources tab (cell I24)." sqref="F95" xr:uid="{00000000-0002-0000-0300-000010000000}">
      <formula1>Stored1</formula1>
    </dataValidation>
    <dataValidation allowBlank="1" showInputMessage="1" showErrorMessage="1" promptTitle="Operating Reserve" prompt="The Operating Reserve is defaulted to 6 months of operating costs and total permanent debt payment." sqref="E124:F124" xr:uid="{00000000-0002-0000-0300-000011000000}"/>
    <dataValidation type="list" allowBlank="1" showInputMessage="1" showErrorMessage="1" errorTitle="Select From the List" error="You must select one of the options from the drop down list." promptTitle="Calculation Method" prompt="The calculation method determines the value that appears in the Column D - Amount. Per Unit = # of residential units. % of Net CC = percent of cells D32-D37. Site Square Feet and Building Square Feet are entered on the Setup tab. " sqref="F38" xr:uid="{00000000-0002-0000-0300-000012000000}">
      <formula1>Stored1</formula1>
    </dataValidation>
    <dataValidation type="list" allowBlank="1" showInputMessage="1" showErrorMessage="1" errorTitle="Select From the List" error="You must select one of the options from the drop down list." promptTitle="Calculation Method" prompt="The calculation method determines the value that appears in the Column D - Amount. Per Unit = # of residential units. % of Net CC = percent of sum (Cells D40-D45). Site Square Feet and Building Square Feet are entered on the Setup tab. " sqref="F46" xr:uid="{00000000-0002-0000-0300-000013000000}">
      <formula1>Stored1</formula1>
    </dataValidation>
    <dataValidation allowBlank="1" showInputMessage="1" showErrorMessage="1" promptTitle="LIHTC Acquisition Eligible" prompt="This field is calculated as Total Depreciable less amount Ineligible, but can be overridden." sqref="P3:P11" xr:uid="{00000000-0002-0000-0300-000014000000}"/>
    <dataValidation allowBlank="1" showInputMessage="1" showErrorMessage="1" promptTitle="Rehab LIHTC Eligible" prompt="Acquisition Costs are not eligible rehab costs." sqref="Q3:Q11" xr:uid="{00000000-0002-0000-0300-000015000000}"/>
    <dataValidation allowBlank="1" showInputMessage="1" showErrorMessage="1" promptTitle="Historic TC Eligible" prompt="Acquisition Costs are not eligible historic costs." sqref="R3:R11" xr:uid="{00000000-0002-0000-0300-000016000000}"/>
    <dataValidation allowBlank="1" showInputMessage="1" showErrorMessage="1" promptTitle="Historic Credits" prompt="Acquisition Costs are not eligible for the Historic Credis." sqref="M3:M11" xr:uid="{00000000-0002-0000-0300-000017000000}"/>
    <dataValidation allowBlank="1" showInputMessage="1" showErrorMessage="1" promptTitle="Refinance/ Loan Pay-Off" prompt="This line item is for Restructuring/ Refinancing deals only._x000a_It is defaulted to the sum of existing debt entered on the Sources tab." sqref="C5:F5" xr:uid="{00000000-0002-0000-0300-000018000000}"/>
    <dataValidation allowBlank="1" showInputMessage="1" showErrorMessage="1" promptTitle="Infrastructure Contingency" prompt="Infrastructure contingency is defaulted to 10% of cells D32-D37." sqref="E38" xr:uid="{00000000-0002-0000-0300-000019000000}"/>
    <dataValidation allowBlank="1" showInputMessage="1" showErrorMessage="1" promptTitle="Environmental Contingency" prompt="Environmental contingency is defaulted to 10% of cells D40-D45." sqref="E46" xr:uid="{00000000-0002-0000-0300-00001A000000}"/>
    <dataValidation allowBlank="1" showInputMessage="1" showErrorMessage="1" promptTitle="Commercial Contingency" prompt="Commercial contingency is defaulted to 10% of cells D48." sqref="E57" xr:uid="{00000000-0002-0000-0300-00001B000000}"/>
    <dataValidation allowBlank="1" showInputMessage="1" showErrorMessage="1" promptTitle="Construction Contingency" prompt="Contingency is defaulted to 10% of the sum of the following cells: D13-D18 and D24-D29. New Construction should be 5% (0.05) and Rehab 10% (0.10) when set to &quot;% of Total CC&quot;." sqref="E30" xr:uid="{00000000-0002-0000-0300-00001C000000}"/>
    <dataValidation allowBlank="1" showInputMessage="1" showErrorMessage="1" promptTitle="Developer Fee Calculation" prompt="The Developer Fee is automatically calculated based on whether the deal is a regular DOH deal or a CHA deal. This selection is made on the Setup tab, field J50." sqref="F114" xr:uid="{00000000-0002-0000-0300-00001D000000}"/>
    <dataValidation allowBlank="1" showInputMessage="1" showErrorMessage="1" promptTitle="Lease-Up Reserve" prompt="The lease-up reserve is calculated on the Lease_Up tab, but can be overwritten." sqref="F120" xr:uid="{00000000-0002-0000-0300-00001E000000}"/>
    <dataValidation type="list" allowBlank="1" showInputMessage="1" showErrorMessage="1" promptTitle="Construction Contingency" prompt="Contingency is defaulted to 10% of the sum of the following cells: D13-D15 and D24-D29. New Construction should be 5% (0.05) and Rehab 10% (0.10) when set to &quot;% of Net CC&quot;." sqref="F30" xr:uid="{00000000-0002-0000-0300-00001F000000}">
      <formula1>Stored1</formula1>
    </dataValidation>
    <dataValidation type="list" allowBlank="1" showInputMessage="1" showErrorMessage="1" errorTitle="Select From the List" error="You must select one of the options from the drop down list." promptTitle="Calculation Method" prompt="The calculation method determines the value that appears in Column D - Amount. Per Unit = # of residential units.  Site Square Feet and Building Square Feet are entered on the Setup tab. " sqref="F32:F37" xr:uid="{00000000-0002-0000-0300-000020000000}">
      <formula1>List22</formula1>
    </dataValidation>
    <dataValidation type="list" allowBlank="1" showInputMessage="1" showErrorMessage="1" errorTitle="Select From the List" error="You must select one of the options from the drop down list." promptTitle="Calculation Method" prompt="The calculation method determines the value that appears in Column D - Amount. Per Unit = # of residential units. Site Square Feet and Building Square Feet are entered on the Setup tab. " sqref="F40:F45 F48" xr:uid="{00000000-0002-0000-0300-000021000000}">
      <formula1>List22</formula1>
    </dataValidation>
    <dataValidation allowBlank="1" showInputMessage="1" showErrorMessage="1" promptTitle="Lease-Up Reserve" prompt="The lease-up reserve is calculated on the Lease_Up tab, cell K45, but can be overwritten." sqref="E120" xr:uid="{00000000-0002-0000-0300-000022000000}"/>
    <dataValidation allowBlank="1" showInputMessage="1" showErrorMessage="1" promptTitle="Developer Fee Calculation" prompt="The developer fee is automatically calculated based on DOH policy.  The developer fee may be no more than 10% of the first $5M with 5% thereafter, and a cap of $2.5M or 6%, whichever is less.  Caps are inclusive of both actualized and deferred. " sqref="E114" xr:uid="{00000000-0002-0000-0300-000023000000}"/>
    <dataValidation allowBlank="1" showInputMessage="1" showErrorMessage="1" promptTitle="Depreciable but Ineligible" prompt="100% of all Commercial Costs are defaulted as ineligible for the LIHTC. This value can be overridden." sqref="L48:L57" xr:uid="{00000000-0002-0000-0300-000026000000}"/>
    <dataValidation allowBlank="1" showInputMessage="1" showErrorMessage="1" promptTitle="Enter Amount Here" prompt="Commercial contingency is defaulted to 10% of cells D48 for rehab, and 5% for new construction." sqref="E57" xr:uid="{00000000-0002-0000-0300-000027000000}"/>
  </dataValidations>
  <pageMargins left="0.47" right="0.47" top="0.7" bottom="0.54" header="0.33" footer="0.26"/>
  <pageSetup scale="44" orientation="portrait" horizontalDpi="1200" verticalDpi="1200" r:id="rId1"/>
  <headerFooter alignWithMargins="0">
    <oddHeader>&amp;C&amp;"Arial,Bold"&amp;12Development Costs</oddHeader>
    <oddFooter>&amp;L&amp;Z&amp;F&amp;RPage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34"/>
    <pageSetUpPr fitToPage="1"/>
  </sheetPr>
  <dimension ref="A1:CL162"/>
  <sheetViews>
    <sheetView topLeftCell="A6" workbookViewId="0">
      <selection activeCell="L14" sqref="L14"/>
    </sheetView>
  </sheetViews>
  <sheetFormatPr defaultColWidth="9.140625" defaultRowHeight="12.75" outlineLevelRow="1"/>
  <cols>
    <col min="1" max="1" width="4.42578125" style="68" customWidth="1"/>
    <col min="2" max="2" width="12.140625" style="95" customWidth="1"/>
    <col min="3" max="3" width="11.42578125" style="95" customWidth="1"/>
    <col min="4" max="4" width="8.140625" style="274" customWidth="1"/>
    <col min="5" max="5" width="11.85546875" style="95" customWidth="1"/>
    <col min="6" max="6" width="12.42578125" style="73" customWidth="1"/>
    <col min="7" max="7" width="8.7109375" style="73" bestFit="1" customWidth="1"/>
    <col min="8" max="8" width="11.28515625" style="73" bestFit="1" customWidth="1"/>
    <col min="9" max="9" width="8.140625" style="73" bestFit="1" customWidth="1"/>
    <col min="10" max="10" width="10.42578125" style="73" bestFit="1" customWidth="1"/>
    <col min="11" max="11" width="7.42578125" style="74" bestFit="1" customWidth="1"/>
    <col min="12" max="12" width="6" style="74" bestFit="1" customWidth="1"/>
    <col min="13" max="13" width="10.28515625" style="75" hidden="1" customWidth="1"/>
    <col min="14" max="14" width="10" style="76" hidden="1" customWidth="1"/>
    <col min="15" max="15" width="10.28515625" style="77" hidden="1" customWidth="1"/>
    <col min="16" max="16" width="8.85546875" style="78" hidden="1" customWidth="1" collapsed="1"/>
    <col min="17" max="17" width="10.5703125" style="79" hidden="1" customWidth="1"/>
    <col min="18" max="18" width="7.5703125" style="80" hidden="1" customWidth="1"/>
    <col min="19" max="19" width="6" style="80" hidden="1" customWidth="1"/>
    <col min="20" max="20" width="10.28515625" style="81" hidden="1" customWidth="1" collapsed="1"/>
    <col min="21" max="21" width="10" style="81" hidden="1" customWidth="1"/>
    <col min="22" max="22" width="10.28515625" style="82" hidden="1" customWidth="1" collapsed="1"/>
    <col min="23" max="23" width="8.85546875" style="83" hidden="1" customWidth="1" collapsed="1"/>
    <col min="24" max="24" width="8.85546875" style="84" bestFit="1" customWidth="1"/>
    <col min="25" max="25" width="7.42578125" style="85" bestFit="1" customWidth="1"/>
    <col min="26" max="26" width="6.7109375" style="85" customWidth="1"/>
    <col min="27" max="27" width="10.28515625" style="86" hidden="1" customWidth="1" collapsed="1"/>
    <col min="28" max="28" width="10" style="86" hidden="1" customWidth="1"/>
    <col min="29" max="29" width="10.28515625" style="87" hidden="1" customWidth="1" collapsed="1"/>
    <col min="30" max="30" width="8.85546875" style="88" hidden="1" customWidth="1" collapsed="1"/>
    <col min="31" max="31" width="8.85546875" style="89" bestFit="1" customWidth="1"/>
    <col min="32" max="32" width="7.42578125" style="90" bestFit="1" customWidth="1"/>
    <col min="33" max="33" width="6.7109375" style="90" customWidth="1"/>
    <col min="34" max="34" width="10.28515625" style="91" hidden="1" customWidth="1" collapsed="1"/>
    <col min="35" max="35" width="10" style="91" hidden="1" customWidth="1"/>
    <col min="36" max="36" width="10.28515625" style="92" hidden="1" customWidth="1" collapsed="1"/>
    <col min="37" max="37" width="8.85546875" style="89" hidden="1" customWidth="1" collapsed="1"/>
    <col min="38" max="38" width="8.85546875" style="79" bestFit="1" customWidth="1"/>
    <col min="39" max="39" width="7.42578125" style="80" bestFit="1" customWidth="1"/>
    <col min="40" max="40" width="6.7109375" style="80" customWidth="1"/>
    <col min="41" max="41" width="9" style="81" hidden="1" customWidth="1" collapsed="1"/>
    <col min="42" max="42" width="6.140625" style="81" hidden="1" customWidth="1"/>
    <col min="43" max="43" width="10.28515625" style="93" hidden="1" customWidth="1" collapsed="1"/>
    <col min="44" max="44" width="8.85546875" style="79" hidden="1" customWidth="1"/>
    <col min="45" max="45" width="8.85546875" style="84" bestFit="1" customWidth="1"/>
    <col min="46" max="46" width="13.85546875" style="84" bestFit="1" customWidth="1" collapsed="1"/>
    <col min="47" max="47" width="6.42578125" style="84" bestFit="1" customWidth="1"/>
    <col min="48" max="48" width="8.85546875" style="94" bestFit="1" customWidth="1" collapsed="1"/>
    <col min="49" max="49" width="9.28515625" style="95" bestFit="1" customWidth="1"/>
    <col min="50" max="50" width="9.140625" style="95"/>
    <col min="51" max="52" width="9.140625" style="96"/>
    <col min="53" max="53" width="11.7109375" style="96" customWidth="1"/>
    <col min="54" max="54" width="11.7109375" style="97" hidden="1" customWidth="1"/>
    <col min="55" max="59" width="11.7109375" style="96" hidden="1" customWidth="1"/>
    <col min="60" max="60" width="11.7109375" style="98" hidden="1" customWidth="1"/>
    <col min="61" max="62" width="11.7109375" style="96" hidden="1" customWidth="1"/>
    <col min="63" max="66" width="11.7109375" style="96" customWidth="1"/>
    <col min="67" max="16384" width="9.140625" style="96"/>
  </cols>
  <sheetData>
    <row r="1" spans="1:62" hidden="1">
      <c r="B1" s="69" t="s">
        <v>413</v>
      </c>
      <c r="C1" s="70"/>
      <c r="D1" s="71"/>
      <c r="E1" s="70">
        <v>1</v>
      </c>
      <c r="F1" s="72">
        <f>IF(G7=Lists!$G$1,1,IF(F7=Lists!$G$1,2,0))</f>
        <v>1</v>
      </c>
      <c r="N1" s="75"/>
      <c r="AQ1" s="77"/>
      <c r="AV1" s="1185"/>
    </row>
    <row r="2" spans="1:62" hidden="1">
      <c r="B2" s="99" t="s">
        <v>414</v>
      </c>
      <c r="C2" s="100"/>
      <c r="D2" s="101"/>
      <c r="E2" s="100">
        <v>0</v>
      </c>
      <c r="F2" s="102">
        <f>IF(F7=Lists!$G$1,1,0)</f>
        <v>0</v>
      </c>
      <c r="N2" s="75"/>
      <c r="AQ2" s="77"/>
      <c r="AV2" s="1185"/>
    </row>
    <row r="3" spans="1:62" hidden="1">
      <c r="B3" s="99" t="s">
        <v>415</v>
      </c>
      <c r="C3" s="103"/>
      <c r="D3" s="101"/>
      <c r="E3" s="103">
        <v>2</v>
      </c>
      <c r="F3" s="102"/>
      <c r="N3" s="75"/>
      <c r="AQ3" s="77"/>
      <c r="AV3" s="1185"/>
    </row>
    <row r="4" spans="1:62" ht="13.5" hidden="1" thickBot="1">
      <c r="B4" s="104" t="s">
        <v>416</v>
      </c>
      <c r="C4" s="105"/>
      <c r="D4" s="106"/>
      <c r="E4" s="105">
        <v>3</v>
      </c>
      <c r="F4" s="107"/>
      <c r="N4" s="75"/>
      <c r="AQ4" s="77"/>
      <c r="AV4" s="1185"/>
    </row>
    <row r="5" spans="1:62" hidden="1">
      <c r="B5" s="103"/>
      <c r="C5" s="108"/>
      <c r="D5" s="109"/>
      <c r="E5" s="108"/>
      <c r="F5" s="110"/>
      <c r="N5" s="75"/>
      <c r="AQ5" s="77"/>
      <c r="AV5" s="1185"/>
    </row>
    <row r="6" spans="1:62" ht="19.5" customHeight="1">
      <c r="A6" s="1186" t="str">
        <f>Deal_Overview!$D$2</f>
        <v>Enter Project Name Here</v>
      </c>
      <c r="B6" s="1187"/>
      <c r="C6" s="677"/>
      <c r="D6" s="96"/>
      <c r="E6" s="96"/>
      <c r="F6" s="111" t="s">
        <v>417</v>
      </c>
      <c r="G6" s="111" t="s">
        <v>418</v>
      </c>
      <c r="H6" s="96"/>
      <c r="J6" s="97"/>
      <c r="K6" s="97"/>
      <c r="L6" s="112"/>
      <c r="N6" s="113"/>
      <c r="O6" s="114"/>
      <c r="P6" s="115"/>
      <c r="Q6" s="116"/>
      <c r="R6" s="116"/>
      <c r="S6" s="117"/>
      <c r="T6" s="118"/>
      <c r="U6" s="119"/>
      <c r="V6" s="120"/>
      <c r="W6" s="121"/>
      <c r="X6" s="122"/>
      <c r="Y6" s="122"/>
      <c r="Z6" s="123"/>
      <c r="AA6" s="124"/>
      <c r="AB6" s="125"/>
      <c r="AC6" s="126"/>
      <c r="AD6" s="127"/>
      <c r="AE6" s="128"/>
      <c r="AF6" s="128"/>
      <c r="AG6" s="129"/>
      <c r="AH6" s="130"/>
      <c r="AI6" s="131"/>
      <c r="AJ6" s="132"/>
      <c r="AK6" s="128"/>
      <c r="AL6" s="116"/>
      <c r="AM6" s="116"/>
      <c r="AN6" s="117"/>
      <c r="AO6" s="118"/>
      <c r="AP6" s="119"/>
      <c r="AQ6" s="120"/>
      <c r="AR6" s="116"/>
      <c r="AS6" s="122"/>
      <c r="AT6" s="122"/>
      <c r="AU6" s="122"/>
      <c r="AV6" s="1188"/>
      <c r="AW6" s="96"/>
      <c r="BB6" s="110"/>
      <c r="BH6" s="96"/>
      <c r="BI6" s="98"/>
    </row>
    <row r="7" spans="1:62" ht="13.5" thickBot="1">
      <c r="A7" s="1938" t="s">
        <v>419</v>
      </c>
      <c r="B7" s="1938"/>
      <c r="C7" s="1189">
        <v>2022</v>
      </c>
      <c r="D7" s="95"/>
      <c r="F7" s="1190" t="str">
        <f>IF(I94&gt;0,"Yes","No")</f>
        <v>No</v>
      </c>
      <c r="G7" s="1190" t="str">
        <f>IF(Setup!L8="Yes","Yes","No")</f>
        <v>Yes</v>
      </c>
      <c r="H7" s="97"/>
      <c r="K7" s="73"/>
      <c r="M7" s="134"/>
      <c r="N7" s="75"/>
      <c r="O7" s="135"/>
      <c r="P7" s="115"/>
      <c r="Q7" s="116"/>
      <c r="R7" s="116"/>
      <c r="S7" s="117"/>
      <c r="T7" s="118"/>
      <c r="U7" s="119"/>
      <c r="V7" s="120"/>
      <c r="W7" s="121"/>
      <c r="X7" s="122"/>
      <c r="Y7" s="122"/>
      <c r="Z7" s="123"/>
      <c r="AA7" s="124"/>
      <c r="AB7" s="125"/>
      <c r="AC7" s="126"/>
      <c r="AD7" s="127"/>
      <c r="AE7" s="128"/>
      <c r="AF7" s="128"/>
      <c r="AG7" s="129"/>
      <c r="AH7" s="130"/>
      <c r="AI7" s="131"/>
      <c r="AJ7" s="132"/>
      <c r="AK7" s="128"/>
      <c r="AL7" s="116"/>
      <c r="AM7" s="116"/>
      <c r="AN7" s="117"/>
      <c r="AO7" s="118"/>
      <c r="AP7" s="119"/>
      <c r="AQ7" s="120"/>
      <c r="AR7" s="116"/>
      <c r="AS7" s="122"/>
      <c r="AT7" s="122"/>
      <c r="AU7" s="122"/>
      <c r="AV7" s="1188"/>
      <c r="AW7" s="96"/>
      <c r="AX7" s="96"/>
      <c r="BH7" s="96"/>
      <c r="BI7" s="98"/>
    </row>
    <row r="8" spans="1:62" s="137" customFormat="1" ht="15.75" customHeight="1" thickBot="1">
      <c r="A8" s="136"/>
      <c r="D8" s="138"/>
      <c r="H8" s="139"/>
      <c r="J8" s="140" t="s">
        <v>420</v>
      </c>
      <c r="K8" s="141">
        <v>0.3</v>
      </c>
      <c r="L8" s="142"/>
      <c r="M8" s="143"/>
      <c r="N8" s="144"/>
      <c r="O8" s="143"/>
      <c r="P8" s="145"/>
      <c r="Q8" s="146" t="s">
        <v>420</v>
      </c>
      <c r="R8" s="147">
        <v>0.4</v>
      </c>
      <c r="S8" s="148"/>
      <c r="T8" s="149"/>
      <c r="U8" s="150"/>
      <c r="V8" s="149"/>
      <c r="W8" s="151"/>
      <c r="X8" s="152" t="s">
        <v>420</v>
      </c>
      <c r="Y8" s="153">
        <v>0.5</v>
      </c>
      <c r="Z8" s="154"/>
      <c r="AA8" s="155"/>
      <c r="AB8" s="156"/>
      <c r="AC8" s="155"/>
      <c r="AD8" s="157"/>
      <c r="AE8" s="158" t="s">
        <v>420</v>
      </c>
      <c r="AF8" s="141">
        <v>0.6</v>
      </c>
      <c r="AG8" s="142"/>
      <c r="AH8" s="143"/>
      <c r="AI8" s="144"/>
      <c r="AJ8" s="143"/>
      <c r="AK8" s="145"/>
      <c r="AL8" s="146" t="s">
        <v>420</v>
      </c>
      <c r="AM8" s="147">
        <v>0.8</v>
      </c>
      <c r="AN8" s="148"/>
      <c r="AO8" s="149"/>
      <c r="AP8" s="149"/>
      <c r="AQ8" s="149"/>
      <c r="AR8" s="151"/>
      <c r="AS8" s="152" t="s">
        <v>420</v>
      </c>
      <c r="AT8" s="159" t="s">
        <v>186</v>
      </c>
      <c r="AU8" s="154"/>
      <c r="AV8" s="1939" t="s">
        <v>421</v>
      </c>
      <c r="AW8" s="1940"/>
      <c r="AX8" s="1941"/>
      <c r="BF8" s="160">
        <f>K8</f>
        <v>0.3</v>
      </c>
      <c r="BG8" s="161">
        <f>R8</f>
        <v>0.4</v>
      </c>
      <c r="BH8" s="162">
        <f>Y8</f>
        <v>0.5</v>
      </c>
      <c r="BI8" s="162">
        <f>AF8</f>
        <v>0.6</v>
      </c>
      <c r="BJ8" s="163">
        <f>AM8</f>
        <v>0.8</v>
      </c>
    </row>
    <row r="9" spans="1:62" s="173" customFormat="1" ht="44.45" customHeight="1" thickBot="1">
      <c r="A9" s="1191" t="s">
        <v>422</v>
      </c>
      <c r="B9" s="1192" t="s">
        <v>423</v>
      </c>
      <c r="C9" s="1192" t="s">
        <v>424</v>
      </c>
      <c r="D9" s="1193" t="s">
        <v>425</v>
      </c>
      <c r="E9" s="1194" t="s">
        <v>426</v>
      </c>
      <c r="F9" s="1194" t="s">
        <v>427</v>
      </c>
      <c r="G9" s="1194" t="s">
        <v>428</v>
      </c>
      <c r="H9" s="1195" t="s">
        <v>429</v>
      </c>
      <c r="I9" s="1194" t="s">
        <v>430</v>
      </c>
      <c r="J9" s="167" t="s">
        <v>431</v>
      </c>
      <c r="K9" s="167" t="s">
        <v>432</v>
      </c>
      <c r="L9" s="167" t="s">
        <v>433</v>
      </c>
      <c r="M9" s="168" t="s">
        <v>434</v>
      </c>
      <c r="N9" s="168" t="s">
        <v>435</v>
      </c>
      <c r="O9" s="168" t="s">
        <v>436</v>
      </c>
      <c r="P9" s="169" t="s">
        <v>437</v>
      </c>
      <c r="Q9" s="170" t="s">
        <v>431</v>
      </c>
      <c r="R9" s="170" t="str">
        <f>K9</f>
        <v>Monthly Tenant Rent</v>
      </c>
      <c r="S9" s="170" t="s">
        <v>433</v>
      </c>
      <c r="T9" s="171" t="s">
        <v>434</v>
      </c>
      <c r="U9" s="171" t="s">
        <v>435</v>
      </c>
      <c r="V9" s="171" t="s">
        <v>436</v>
      </c>
      <c r="W9" s="172" t="s">
        <v>437</v>
      </c>
      <c r="X9" s="164" t="s">
        <v>431</v>
      </c>
      <c r="Y9" s="164" t="str">
        <f>K9</f>
        <v>Monthly Tenant Rent</v>
      </c>
      <c r="Z9" s="164" t="s">
        <v>433</v>
      </c>
      <c r="AA9" s="165" t="s">
        <v>434</v>
      </c>
      <c r="AB9" s="165" t="s">
        <v>435</v>
      </c>
      <c r="AC9" s="165" t="s">
        <v>436</v>
      </c>
      <c r="AD9" s="166" t="s">
        <v>437</v>
      </c>
      <c r="AE9" s="167" t="s">
        <v>431</v>
      </c>
      <c r="AF9" s="167" t="str">
        <f>R9</f>
        <v>Monthly Tenant Rent</v>
      </c>
      <c r="AG9" s="167" t="s">
        <v>433</v>
      </c>
      <c r="AH9" s="168" t="s">
        <v>434</v>
      </c>
      <c r="AI9" s="168" t="s">
        <v>435</v>
      </c>
      <c r="AJ9" s="168" t="s">
        <v>436</v>
      </c>
      <c r="AK9" s="169" t="s">
        <v>437</v>
      </c>
      <c r="AL9" s="170" t="s">
        <v>431</v>
      </c>
      <c r="AM9" s="170" t="str">
        <f>Y9</f>
        <v>Monthly Tenant Rent</v>
      </c>
      <c r="AN9" s="170" t="s">
        <v>433</v>
      </c>
      <c r="AO9" s="171" t="s">
        <v>438</v>
      </c>
      <c r="AP9" s="171" t="s">
        <v>435</v>
      </c>
      <c r="AQ9" s="171" t="s">
        <v>436</v>
      </c>
      <c r="AR9" s="172" t="s">
        <v>437</v>
      </c>
      <c r="AS9" s="164" t="s">
        <v>431</v>
      </c>
      <c r="AT9" s="164" t="str">
        <f>K9</f>
        <v>Monthly Tenant Rent</v>
      </c>
      <c r="AU9" s="164" t="s">
        <v>433</v>
      </c>
      <c r="AV9" s="1194" t="s">
        <v>431</v>
      </c>
      <c r="AW9" s="1194" t="s">
        <v>439</v>
      </c>
      <c r="AX9" s="1196" t="s">
        <v>440</v>
      </c>
      <c r="AY9" s="1197"/>
      <c r="AZ9" s="1197"/>
      <c r="BA9" s="1197"/>
      <c r="BB9" s="1197" t="s">
        <v>441</v>
      </c>
      <c r="BC9" s="1197" t="s">
        <v>442</v>
      </c>
      <c r="BD9" s="1197"/>
      <c r="BE9" s="1197"/>
      <c r="BF9" s="174" t="s">
        <v>443</v>
      </c>
      <c r="BG9" s="1198" t="s">
        <v>443</v>
      </c>
      <c r="BH9" s="174" t="s">
        <v>443</v>
      </c>
      <c r="BI9" s="1198" t="s">
        <v>443</v>
      </c>
      <c r="BJ9" s="174" t="s">
        <v>443</v>
      </c>
    </row>
    <row r="10" spans="1:62" ht="18.75" customHeight="1">
      <c r="A10" s="175">
        <v>0</v>
      </c>
      <c r="B10" s="176" t="s">
        <v>444</v>
      </c>
      <c r="C10" s="1199">
        <v>500</v>
      </c>
      <c r="D10" s="1200">
        <v>1</v>
      </c>
      <c r="E10" s="177">
        <f>Setup!K49</f>
        <v>0</v>
      </c>
      <c r="F10" s="178">
        <v>0</v>
      </c>
      <c r="G10" s="179">
        <f>IF(Setup!$L$8="No",0,J10+Q10+X10+AE10)+IF(Setup!$R$21="No",0,'Units&amp;Income'!AL10)</f>
        <v>0</v>
      </c>
      <c r="H10" s="179"/>
      <c r="I10" s="179">
        <f>IF(Sources!$D$10&gt;0,J10+Q10+X10+AE10,IF(Sources!$D$11&gt;0,H10,0))</f>
        <v>0</v>
      </c>
      <c r="J10" s="189">
        <v>0</v>
      </c>
      <c r="K10" s="189">
        <v>0</v>
      </c>
      <c r="L10" s="190">
        <f>E10+K10</f>
        <v>0</v>
      </c>
      <c r="M10" s="1201">
        <f>IF($C$7=Max_Limits!$A$8,Max_Limits!#REF!/12*0.3*K$8,IF($C$7=Max_Limits!$A$9,Max_Limits!$B$9/12*0.3*K$8,IF('Units&amp;Income'!$C$7=Max_Limits!$A$10,Max_Limits!$B$10/12*0.3*K$8,IF('Units&amp;Income'!$C$7=Max_Limits!$A$11,Max_Limits!$B$11/12*0.3*K$8,IF('Units&amp;Income'!$C$7=Max_Limits!$A$12,Max_Limits!$B$12/12*0.3*K$8,IF('Units&amp;Income'!$C$7=Max_Limits!$A$13,Max_Limits!$B$13/12*0.3*K$8,IF($C$7=Max_Limits!$A$14,Max_Limits!$B$14/12*0.3*'Units&amp;Income'!K$8,IF('Units&amp;Income'!$C$7=Max_Limits!$A$15,Max_Limits!$B$8/12*0.3*'Units&amp;Income'!K$8,0))))))))</f>
        <v>0</v>
      </c>
      <c r="N10" s="191" t="e">
        <f>IF($C$7=Max_Limits!#REF!,Max_Limits!#REF!,IF($C$7=Max_Limits!#REF!,Max_Limits!#REF!,IF($C$7=Max_Limits!#REF!,Max_Limits!#REF!,IF($C$7=Max_Limits!#REF!,Max_Limits!#REF!,IF(C7=Max_Limits!#REF!,Max_Limits!#REF!,IF($C$7=Max_Limits!#REF!,Max_Limits!#REF!,IF($C$7=Max_Limits!#REF!,Max_Limits!#REF!, IF(C7=Max_Limits!#REF!,Max_Limits!#REF!,0))))))))</f>
        <v>#REF!</v>
      </c>
      <c r="O10" s="192">
        <f>IF(SUM($F$1:$F$2)=1,M10, IF(SUM($F$1:$F$2)=2, BF10, IF(SUM($F$1:$F$2)=3,N10,"None")))</f>
        <v>0</v>
      </c>
      <c r="P10" s="192">
        <f t="shared" ref="P10:P22" si="0">IF(O10="None",0,IF(K10&gt;0,O10-L10,0))</f>
        <v>0</v>
      </c>
      <c r="Q10" s="180">
        <v>0</v>
      </c>
      <c r="R10" s="180">
        <v>0</v>
      </c>
      <c r="S10" s="181">
        <f t="shared" ref="S10:S22" si="1">$E10+R10</f>
        <v>0</v>
      </c>
      <c r="T10" s="182">
        <f>IF($C$7=Max_Limits!$A$8,Max_Limits!#REF!/12*0.3*R$8,IF($C$7=Max_Limits!$A$9,Max_Limits!$B$9/12*0.3*R$8,IF('Units&amp;Income'!$C$7=Max_Limits!$A$10,Max_Limits!$B$10/12*0.3*R$8,IF('Units&amp;Income'!$C$7=Max_Limits!$A$11,Max_Limits!$B$11/12*0.3*R$8,IF('Units&amp;Income'!$C$7=Max_Limits!$A$12,Max_Limits!$B$12/12*0.3*R$8,IF('Units&amp;Income'!$C$7=Max_Limits!$A$13,Max_Limits!$B$13/12*0.3*R$8,IF($C$7=Max_Limits!$A$14,Max_Limits!$B$14/12*0.3*'Units&amp;Income'!R$8,IF('Units&amp;Income'!$C$7=Max_Limits!$A$15,Max_Limits!$B$8/12*0.3*'Units&amp;Income'!R$8,0))))))))</f>
        <v>0</v>
      </c>
      <c r="U10" s="182" t="e">
        <f>N10</f>
        <v>#REF!</v>
      </c>
      <c r="V10" s="183">
        <f>IF(SUM($F$1:$F$2)=1,T10,IF(SUM($F$1:$F$2)=2,BG10, IF(SUM($F$1:$F$2)=3,U10,"None")))</f>
        <v>0</v>
      </c>
      <c r="W10" s="184">
        <f>IF(V10="None",0,IF(R10&gt;0,V10-S10,0))</f>
        <v>0</v>
      </c>
      <c r="X10" s="185">
        <v>0</v>
      </c>
      <c r="Y10" s="185">
        <v>0</v>
      </c>
      <c r="Z10" s="186">
        <f t="shared" ref="Z10:Z22" si="2">$E10+Y10</f>
        <v>0</v>
      </c>
      <c r="AA10" s="187">
        <f>IF($C$7=Max_Limits!$A$8,Max_Limits!#REF!/12*0.3*Y$8,IF($C$7=Max_Limits!$A$9,Max_Limits!$B$9/12*0.3*Y$8,IF('Units&amp;Income'!$C$7=Max_Limits!$A$10,Max_Limits!$B$10/12*0.3*Y$8,IF('Units&amp;Income'!$C$7=Max_Limits!$A$11,Max_Limits!$B$11/12*0.3*Y$8,IF('Units&amp;Income'!$C$7=Max_Limits!$A$12,Max_Limits!$B$12/12*0.3*Y$8,IF('Units&amp;Income'!$C$7=Max_Limits!$A$13,Max_Limits!$B$13/12*0.3*Y$8,IF($C$7=Max_Limits!$A$14,Max_Limits!$B$14/12*0.3*'Units&amp;Income'!Y$8,IF('Units&amp;Income'!$C$7=Max_Limits!$A$15,Max_Limits!$B$8/12*0.3*'Units&amp;Income'!Y$8,0))))))))</f>
        <v>0</v>
      </c>
      <c r="AB10" s="187" t="e">
        <f>U10</f>
        <v>#REF!</v>
      </c>
      <c r="AC10" s="188">
        <f>IF(SUM($F$1:$F$2)=1,AA10,IF(SUM($F$1:$F$2)=2,BH10, IF(SUM($F$1:$F$2)=3,AB10,"None")))</f>
        <v>0</v>
      </c>
      <c r="AD10" s="188">
        <f>IF(AC10="None",0,IF(Y10&gt;0,AC10-Z10,0))</f>
        <v>0</v>
      </c>
      <c r="AE10" s="189">
        <v>0</v>
      </c>
      <c r="AF10" s="189">
        <v>0</v>
      </c>
      <c r="AG10" s="190">
        <f t="shared" ref="AG10:AG22" si="3">$E10+AF10</f>
        <v>0</v>
      </c>
      <c r="AH10" s="191">
        <f>IF($C$7=Max_Limits!$A$8,Max_Limits!#REF!/12*0.3*AF$8,IF($C$7=Max_Limits!$A$9,Max_Limits!$B$9/12*0.3*AF$8,IF('Units&amp;Income'!$C$7=Max_Limits!$A$10,Max_Limits!$B$10/12*0.3*AF$8,IF('Units&amp;Income'!$C$7=Max_Limits!$A$11,Max_Limits!$B$11/12*0.3*AF$8,IF('Units&amp;Income'!$C$7=Max_Limits!$A$12,Max_Limits!$B$12/12*0.3*AF$8,IF('Units&amp;Income'!$C$7=Max_Limits!$A$13,Max_Limits!$B$13/12*0.3*AF$8,IF($C$7=Max_Limits!$A$14,Max_Limits!$B$14/12*0.3*'Units&amp;Income'!AF$8,IF('Units&amp;Income'!$C$7=Max_Limits!$A$15,Max_Limits!$B$8/12*0.3*'Units&amp;Income'!AF$8,0))))))))</f>
        <v>0</v>
      </c>
      <c r="AI10" s="191" t="e">
        <f>AB10</f>
        <v>#REF!</v>
      </c>
      <c r="AJ10" s="192">
        <f>IF(SUM($F$1:$F$2)=1,AH10,IF(SUM($F$1:$F$2)=2,BI10, IF(SUM($F$1:$F$2)=3,AI10,"None")))</f>
        <v>0</v>
      </c>
      <c r="AK10" s="192">
        <f>IF(AJ10="None",0,IF(AF10&gt;0,AJ10-AG10,0))</f>
        <v>0</v>
      </c>
      <c r="AL10" s="180">
        <v>0</v>
      </c>
      <c r="AM10" s="180">
        <v>0</v>
      </c>
      <c r="AN10" s="181">
        <f t="shared" ref="AN10:AN22" si="4">$E10+AM10</f>
        <v>0</v>
      </c>
      <c r="AO10" s="182">
        <f>IF($C$7=Max_Limits!$A$8,Max_Limits!#REF!/12*0.3*AM$8,IF($C$7=Max_Limits!$A$9,Max_Limits!$B$9/12*0.3*AM$8,IF('Units&amp;Income'!$C$7=Max_Limits!$A$10,Max_Limits!$B$10/12*0.3*AM$8,IF('Units&amp;Income'!$C$7=Max_Limits!$A$11,Max_Limits!$B$11/12*0.3*AM$8,IF('Units&amp;Income'!$C$7=Max_Limits!$A$12,Max_Limits!$B$12/12*0.3*AM$8,IF('Units&amp;Income'!$C$7=Max_Limits!$A$13,Max_Limits!$B$13/12*0.3*AM$8,IF($C$7=Max_Limits!$A$14,Max_Limits!$B$14/12*0.3*'Units&amp;Income'!AM$8,IF('Units&amp;Income'!$C$7=Max_Limits!$A$15,Max_Limits!$B$8/12*0.3*'Units&amp;Income'!AM$8,0))))))))</f>
        <v>0</v>
      </c>
      <c r="AP10" s="182" t="e">
        <f>AI10</f>
        <v>#REF!</v>
      </c>
      <c r="AQ10" s="183">
        <f>IF(SUM($F$1:$F$2)=1,AO10,IF(SUM($F$1:$F$2)=2,BJ10, IF(SUM($F$1:$F$2)=3,AP10,"None")))</f>
        <v>0</v>
      </c>
      <c r="AR10" s="183">
        <f>IF(AQ10="None",0,IF(AM10&gt;0,AQ10-AN10,0))</f>
        <v>0</v>
      </c>
      <c r="AS10" s="185">
        <v>0</v>
      </c>
      <c r="AT10" s="185">
        <v>0</v>
      </c>
      <c r="AU10" s="186">
        <f t="shared" ref="AU10:AU22" si="5">$E10+AT10</f>
        <v>0</v>
      </c>
      <c r="AV10" s="1202">
        <f>F10+AS10+AE10+X10+Q10+J10+AL10</f>
        <v>0</v>
      </c>
      <c r="AW10" s="193">
        <f t="shared" ref="AW10:AW22" si="6">J10*K10+Q10*R10+X10*Y10+AE10*AF10+AS10*AT10</f>
        <v>0</v>
      </c>
      <c r="AX10" s="194" t="str">
        <f t="shared" ref="AX10:AX73" si="7">IF(AW10=0,"",AW10/AV10)</f>
        <v/>
      </c>
      <c r="BB10" s="98">
        <f t="shared" ref="BB10:BB22" si="8">G10*C10</f>
        <v>0</v>
      </c>
      <c r="BC10" s="968">
        <f>((AV10-G10)-F10)*C10</f>
        <v>0</v>
      </c>
      <c r="BF10" s="112" t="e">
        <f>IF(M10&gt;N10,N10,M10)</f>
        <v>#REF!</v>
      </c>
      <c r="BG10" s="117" t="e">
        <f t="shared" ref="BG10:BG22" si="9">IF(T10&gt;U10,U10,T10)</f>
        <v>#REF!</v>
      </c>
      <c r="BH10" s="112" t="e">
        <f t="shared" ref="BH10:BH22" si="10">IF(AA10&gt;AB10,AB10,AA10)</f>
        <v>#REF!</v>
      </c>
      <c r="BI10" s="117" t="e">
        <f t="shared" ref="BI10:BI22" si="11">IF(AH10&gt;AI10,AI10,AH10)</f>
        <v>#REF!</v>
      </c>
      <c r="BJ10" s="98" t="e">
        <f>IF(AO10&gt;AP10,AP10,AO10)</f>
        <v>#REF!</v>
      </c>
    </row>
    <row r="11" spans="1:62">
      <c r="A11" s="175">
        <v>0</v>
      </c>
      <c r="B11" s="195" t="s">
        <v>445</v>
      </c>
      <c r="C11" s="1203">
        <v>500</v>
      </c>
      <c r="D11" s="1204">
        <v>1</v>
      </c>
      <c r="E11" s="196">
        <f t="shared" ref="E11:E22" si="12">E10</f>
        <v>0</v>
      </c>
      <c r="F11" s="197">
        <v>0</v>
      </c>
      <c r="G11" s="179">
        <f>IF(Setup!$L$8="No",0,J11+Q11+X11+AE11)+IF(Setup!$R$21="No",0,'Units&amp;Income'!AL11)</f>
        <v>0</v>
      </c>
      <c r="H11" s="179"/>
      <c r="I11" s="179">
        <f>IF(Sources!$D$10&gt;0,J11+Q11+X11+AE11,IF(Sources!$D$11&gt;0,H11,0))</f>
        <v>0</v>
      </c>
      <c r="J11" s="206">
        <v>0</v>
      </c>
      <c r="K11" s="206">
        <v>0</v>
      </c>
      <c r="L11" s="207">
        <f t="shared" ref="L11:L22" si="13">E11+K11</f>
        <v>0</v>
      </c>
      <c r="M11" s="208">
        <f>M10</f>
        <v>0</v>
      </c>
      <c r="N11" s="208" t="e">
        <f>N10</f>
        <v>#REF!</v>
      </c>
      <c r="O11" s="209">
        <f>O10</f>
        <v>0</v>
      </c>
      <c r="P11" s="209">
        <f t="shared" si="0"/>
        <v>0</v>
      </c>
      <c r="Q11" s="198">
        <v>0</v>
      </c>
      <c r="R11" s="198">
        <v>0</v>
      </c>
      <c r="S11" s="199">
        <f t="shared" si="1"/>
        <v>0</v>
      </c>
      <c r="T11" s="200">
        <f>T10</f>
        <v>0</v>
      </c>
      <c r="U11" s="200" t="e">
        <f>U10</f>
        <v>#REF!</v>
      </c>
      <c r="V11" s="201">
        <f>V10</f>
        <v>0</v>
      </c>
      <c r="W11" s="184">
        <f t="shared" ref="W11:W22" si="14">IF(V11="None",0,IF(R11&gt;0,V11-S11,0))</f>
        <v>0</v>
      </c>
      <c r="X11" s="202">
        <v>0</v>
      </c>
      <c r="Y11" s="202">
        <v>0</v>
      </c>
      <c r="Z11" s="203">
        <f t="shared" si="2"/>
        <v>0</v>
      </c>
      <c r="AA11" s="204">
        <f>AA10</f>
        <v>0</v>
      </c>
      <c r="AB11" s="204" t="e">
        <f>AB10</f>
        <v>#REF!</v>
      </c>
      <c r="AC11" s="205">
        <f>AC10</f>
        <v>0</v>
      </c>
      <c r="AD11" s="188">
        <f t="shared" ref="AD11:AD22" si="15">IF(AC11="None",0,IF(Y11&gt;0,AC11-Z11,0))</f>
        <v>0</v>
      </c>
      <c r="AE11" s="206">
        <v>0</v>
      </c>
      <c r="AF11" s="206">
        <v>0</v>
      </c>
      <c r="AG11" s="207">
        <f t="shared" si="3"/>
        <v>0</v>
      </c>
      <c r="AH11" s="208">
        <f>AH10</f>
        <v>0</v>
      </c>
      <c r="AI11" s="208" t="e">
        <f>AI10</f>
        <v>#REF!</v>
      </c>
      <c r="AJ11" s="209">
        <f>AJ10</f>
        <v>0</v>
      </c>
      <c r="AK11" s="192">
        <f t="shared" ref="AK11:AK22" si="16">IF(AJ11="None",0,IF(AF11&gt;0,AJ11-AG11,0))</f>
        <v>0</v>
      </c>
      <c r="AL11" s="198">
        <v>0</v>
      </c>
      <c r="AM11" s="198">
        <v>0</v>
      </c>
      <c r="AN11" s="199">
        <f t="shared" si="4"/>
        <v>0</v>
      </c>
      <c r="AO11" s="200">
        <f>AO10</f>
        <v>0</v>
      </c>
      <c r="AP11" s="200" t="e">
        <f>AP10</f>
        <v>#REF!</v>
      </c>
      <c r="AQ11" s="201">
        <f>AQ10</f>
        <v>0</v>
      </c>
      <c r="AR11" s="183">
        <f t="shared" ref="AR11:AR22" si="17">IF(AQ11="None",0,IF(AM11&gt;0,AQ11-AN11,0))</f>
        <v>0</v>
      </c>
      <c r="AS11" s="202">
        <v>0</v>
      </c>
      <c r="AT11" s="202">
        <v>0</v>
      </c>
      <c r="AU11" s="203">
        <f t="shared" si="5"/>
        <v>0</v>
      </c>
      <c r="AV11" s="1202">
        <f t="shared" ref="AV11:AV74" si="18">F11+AS11+AE11+X11+Q11+J11+AL11</f>
        <v>0</v>
      </c>
      <c r="AW11" s="210">
        <f t="shared" si="6"/>
        <v>0</v>
      </c>
      <c r="AX11" s="196" t="str">
        <f t="shared" si="7"/>
        <v/>
      </c>
      <c r="BB11" s="98">
        <f t="shared" si="8"/>
        <v>0</v>
      </c>
      <c r="BC11" s="968">
        <f t="shared" ref="BC11:BC74" si="19">((AV11-G11)-F11)*C11</f>
        <v>0</v>
      </c>
      <c r="BF11" s="112" t="e">
        <f t="shared" ref="BF11:BF22" si="20">IF(M11&gt;N11,N11,M11)</f>
        <v>#REF!</v>
      </c>
      <c r="BG11" s="117" t="e">
        <f t="shared" si="9"/>
        <v>#REF!</v>
      </c>
      <c r="BH11" s="112" t="e">
        <f t="shared" si="10"/>
        <v>#REF!</v>
      </c>
      <c r="BI11" s="117" t="e">
        <f t="shared" si="11"/>
        <v>#REF!</v>
      </c>
      <c r="BJ11" s="98" t="e">
        <f t="shared" ref="BJ11:BJ22" si="21">IF(AO11&gt;AP11,AP11,AO11)</f>
        <v>#REF!</v>
      </c>
    </row>
    <row r="12" spans="1:62">
      <c r="A12" s="175">
        <v>0</v>
      </c>
      <c r="B12" s="195" t="s">
        <v>446</v>
      </c>
      <c r="C12" s="1203">
        <v>500</v>
      </c>
      <c r="D12" s="1204">
        <v>1</v>
      </c>
      <c r="E12" s="196">
        <f t="shared" si="12"/>
        <v>0</v>
      </c>
      <c r="F12" s="197">
        <v>0</v>
      </c>
      <c r="G12" s="179">
        <f>IF(Setup!$L$8="No",0,J12+Q12+X12+AE12)+IF(Setup!$R$21="No",0,'Units&amp;Income'!AL12)</f>
        <v>0</v>
      </c>
      <c r="H12" s="179"/>
      <c r="I12" s="179">
        <f>IF(Sources!$D$10&gt;0,J12+Q12+X12+AE12,IF(Sources!$D$11&gt;0,H12,0))</f>
        <v>0</v>
      </c>
      <c r="J12" s="206">
        <v>0</v>
      </c>
      <c r="K12" s="206">
        <v>0</v>
      </c>
      <c r="L12" s="207">
        <f t="shared" si="13"/>
        <v>0</v>
      </c>
      <c r="M12" s="208">
        <f t="shared" ref="M12:O22" si="22">M11</f>
        <v>0</v>
      </c>
      <c r="N12" s="208" t="e">
        <f t="shared" si="22"/>
        <v>#REF!</v>
      </c>
      <c r="O12" s="209">
        <f t="shared" si="22"/>
        <v>0</v>
      </c>
      <c r="P12" s="209">
        <f t="shared" si="0"/>
        <v>0</v>
      </c>
      <c r="Q12" s="198">
        <v>0</v>
      </c>
      <c r="R12" s="198">
        <v>0</v>
      </c>
      <c r="S12" s="199">
        <f t="shared" si="1"/>
        <v>0</v>
      </c>
      <c r="T12" s="200">
        <f t="shared" ref="T12:V22" si="23">T11</f>
        <v>0</v>
      </c>
      <c r="U12" s="200" t="e">
        <f t="shared" si="23"/>
        <v>#REF!</v>
      </c>
      <c r="V12" s="201">
        <f t="shared" si="23"/>
        <v>0</v>
      </c>
      <c r="W12" s="184">
        <f t="shared" si="14"/>
        <v>0</v>
      </c>
      <c r="X12" s="202">
        <v>0</v>
      </c>
      <c r="Y12" s="202">
        <v>0</v>
      </c>
      <c r="Z12" s="203">
        <f t="shared" si="2"/>
        <v>0</v>
      </c>
      <c r="AA12" s="204">
        <f t="shared" ref="AA12:AC22" si="24">AA11</f>
        <v>0</v>
      </c>
      <c r="AB12" s="204" t="e">
        <f t="shared" si="24"/>
        <v>#REF!</v>
      </c>
      <c r="AC12" s="205">
        <f t="shared" si="24"/>
        <v>0</v>
      </c>
      <c r="AD12" s="188">
        <f t="shared" si="15"/>
        <v>0</v>
      </c>
      <c r="AE12" s="206">
        <v>0</v>
      </c>
      <c r="AF12" s="206">
        <v>0</v>
      </c>
      <c r="AG12" s="207">
        <f t="shared" si="3"/>
        <v>0</v>
      </c>
      <c r="AH12" s="208">
        <f t="shared" ref="AH12:AJ22" si="25">AH11</f>
        <v>0</v>
      </c>
      <c r="AI12" s="208" t="e">
        <f t="shared" si="25"/>
        <v>#REF!</v>
      </c>
      <c r="AJ12" s="209">
        <f t="shared" si="25"/>
        <v>0</v>
      </c>
      <c r="AK12" s="192">
        <f t="shared" si="16"/>
        <v>0</v>
      </c>
      <c r="AL12" s="198">
        <v>0</v>
      </c>
      <c r="AM12" s="198">
        <v>0</v>
      </c>
      <c r="AN12" s="199">
        <f t="shared" si="4"/>
        <v>0</v>
      </c>
      <c r="AO12" s="200">
        <f t="shared" ref="AO12:AQ22" si="26">AO11</f>
        <v>0</v>
      </c>
      <c r="AP12" s="200" t="e">
        <f t="shared" si="26"/>
        <v>#REF!</v>
      </c>
      <c r="AQ12" s="201">
        <f t="shared" si="26"/>
        <v>0</v>
      </c>
      <c r="AR12" s="183">
        <f t="shared" si="17"/>
        <v>0</v>
      </c>
      <c r="AS12" s="202">
        <v>0</v>
      </c>
      <c r="AT12" s="202">
        <v>0</v>
      </c>
      <c r="AU12" s="203">
        <f t="shared" si="5"/>
        <v>0</v>
      </c>
      <c r="AV12" s="1202">
        <f t="shared" si="18"/>
        <v>0</v>
      </c>
      <c r="AW12" s="210">
        <f t="shared" si="6"/>
        <v>0</v>
      </c>
      <c r="AX12" s="196" t="str">
        <f t="shared" si="7"/>
        <v/>
      </c>
      <c r="BB12" s="98">
        <f t="shared" si="8"/>
        <v>0</v>
      </c>
      <c r="BC12" s="968">
        <f t="shared" si="19"/>
        <v>0</v>
      </c>
      <c r="BF12" s="112" t="e">
        <f t="shared" si="20"/>
        <v>#REF!</v>
      </c>
      <c r="BG12" s="117" t="e">
        <f t="shared" si="9"/>
        <v>#REF!</v>
      </c>
      <c r="BH12" s="112" t="e">
        <f t="shared" si="10"/>
        <v>#REF!</v>
      </c>
      <c r="BI12" s="117" t="e">
        <f t="shared" si="11"/>
        <v>#REF!</v>
      </c>
      <c r="BJ12" s="98" t="e">
        <f t="shared" si="21"/>
        <v>#REF!</v>
      </c>
    </row>
    <row r="13" spans="1:62">
      <c r="A13" s="175">
        <v>0</v>
      </c>
      <c r="B13" s="195" t="s">
        <v>447</v>
      </c>
      <c r="C13" s="1203">
        <v>500</v>
      </c>
      <c r="D13" s="1204">
        <v>1</v>
      </c>
      <c r="E13" s="196">
        <f t="shared" si="12"/>
        <v>0</v>
      </c>
      <c r="F13" s="197">
        <v>0</v>
      </c>
      <c r="G13" s="179">
        <f>IF(Setup!$L$8="No",0,J13+Q13+X13+AE13)+IF(Setup!$R$21="No",0,'Units&amp;Income'!AL13)</f>
        <v>0</v>
      </c>
      <c r="H13" s="179"/>
      <c r="I13" s="179">
        <f>IF(Sources!$D$10&gt;0,J13+Q13+X13+AE13,IF(Sources!$D$11&gt;0,H13,0))</f>
        <v>0</v>
      </c>
      <c r="J13" s="206">
        <v>0</v>
      </c>
      <c r="K13" s="206">
        <v>0</v>
      </c>
      <c r="L13" s="207">
        <f t="shared" si="13"/>
        <v>0</v>
      </c>
      <c r="M13" s="208">
        <f t="shared" si="22"/>
        <v>0</v>
      </c>
      <c r="N13" s="208" t="e">
        <f t="shared" si="22"/>
        <v>#REF!</v>
      </c>
      <c r="O13" s="209">
        <f t="shared" si="22"/>
        <v>0</v>
      </c>
      <c r="P13" s="209">
        <f t="shared" si="0"/>
        <v>0</v>
      </c>
      <c r="Q13" s="198">
        <v>0</v>
      </c>
      <c r="R13" s="198">
        <v>0</v>
      </c>
      <c r="S13" s="199">
        <f t="shared" si="1"/>
        <v>0</v>
      </c>
      <c r="T13" s="200">
        <f t="shared" si="23"/>
        <v>0</v>
      </c>
      <c r="U13" s="200" t="e">
        <f t="shared" si="23"/>
        <v>#REF!</v>
      </c>
      <c r="V13" s="201">
        <f t="shared" si="23"/>
        <v>0</v>
      </c>
      <c r="W13" s="184">
        <f t="shared" si="14"/>
        <v>0</v>
      </c>
      <c r="X13" s="202">
        <v>0</v>
      </c>
      <c r="Y13" s="202">
        <v>0</v>
      </c>
      <c r="Z13" s="203">
        <f t="shared" si="2"/>
        <v>0</v>
      </c>
      <c r="AA13" s="204">
        <f t="shared" si="24"/>
        <v>0</v>
      </c>
      <c r="AB13" s="204" t="e">
        <f t="shared" si="24"/>
        <v>#REF!</v>
      </c>
      <c r="AC13" s="205">
        <f t="shared" si="24"/>
        <v>0</v>
      </c>
      <c r="AD13" s="188">
        <f t="shared" si="15"/>
        <v>0</v>
      </c>
      <c r="AE13" s="206">
        <v>0</v>
      </c>
      <c r="AF13" s="206">
        <v>0</v>
      </c>
      <c r="AG13" s="207">
        <f t="shared" si="3"/>
        <v>0</v>
      </c>
      <c r="AH13" s="208">
        <f t="shared" si="25"/>
        <v>0</v>
      </c>
      <c r="AI13" s="208" t="e">
        <f t="shared" si="25"/>
        <v>#REF!</v>
      </c>
      <c r="AJ13" s="209">
        <f t="shared" si="25"/>
        <v>0</v>
      </c>
      <c r="AK13" s="192">
        <f t="shared" si="16"/>
        <v>0</v>
      </c>
      <c r="AL13" s="198">
        <v>0</v>
      </c>
      <c r="AM13" s="198">
        <v>0</v>
      </c>
      <c r="AN13" s="199">
        <f t="shared" si="4"/>
        <v>0</v>
      </c>
      <c r="AO13" s="200">
        <f t="shared" si="26"/>
        <v>0</v>
      </c>
      <c r="AP13" s="200" t="e">
        <f t="shared" si="26"/>
        <v>#REF!</v>
      </c>
      <c r="AQ13" s="201">
        <f t="shared" si="26"/>
        <v>0</v>
      </c>
      <c r="AR13" s="183">
        <f t="shared" si="17"/>
        <v>0</v>
      </c>
      <c r="AS13" s="202">
        <v>0</v>
      </c>
      <c r="AT13" s="202">
        <v>0</v>
      </c>
      <c r="AU13" s="203">
        <f t="shared" si="5"/>
        <v>0</v>
      </c>
      <c r="AV13" s="1202">
        <f t="shared" si="18"/>
        <v>0</v>
      </c>
      <c r="AW13" s="210">
        <f t="shared" si="6"/>
        <v>0</v>
      </c>
      <c r="AX13" s="196" t="str">
        <f t="shared" si="7"/>
        <v/>
      </c>
      <c r="BB13" s="98">
        <f t="shared" si="8"/>
        <v>0</v>
      </c>
      <c r="BC13" s="968">
        <f t="shared" si="19"/>
        <v>0</v>
      </c>
      <c r="BF13" s="112" t="e">
        <f t="shared" si="20"/>
        <v>#REF!</v>
      </c>
      <c r="BG13" s="117" t="e">
        <f t="shared" si="9"/>
        <v>#REF!</v>
      </c>
      <c r="BH13" s="112" t="e">
        <f t="shared" si="10"/>
        <v>#REF!</v>
      </c>
      <c r="BI13" s="117" t="e">
        <f t="shared" si="11"/>
        <v>#REF!</v>
      </c>
      <c r="BJ13" s="98" t="e">
        <f t="shared" si="21"/>
        <v>#REF!</v>
      </c>
    </row>
    <row r="14" spans="1:62">
      <c r="A14" s="175">
        <v>0</v>
      </c>
      <c r="B14" s="195" t="s">
        <v>448</v>
      </c>
      <c r="C14" s="1203">
        <v>500</v>
      </c>
      <c r="D14" s="1204">
        <v>1</v>
      </c>
      <c r="E14" s="196">
        <f t="shared" si="12"/>
        <v>0</v>
      </c>
      <c r="F14" s="197">
        <v>0</v>
      </c>
      <c r="G14" s="179">
        <f>IF(Setup!$L$8="No",0,J14+Q14+X14+AE14)</f>
        <v>0</v>
      </c>
      <c r="H14" s="179"/>
      <c r="I14" s="179">
        <f>IF(Sources!$D$10&gt;0,J14+Q14+X14+AE14,IF(Sources!$D$11&gt;0,H14,0))</f>
        <v>0</v>
      </c>
      <c r="J14" s="206">
        <v>0</v>
      </c>
      <c r="K14" s="206">
        <v>0</v>
      </c>
      <c r="L14" s="207">
        <f t="shared" si="13"/>
        <v>0</v>
      </c>
      <c r="M14" s="208">
        <f t="shared" si="22"/>
        <v>0</v>
      </c>
      <c r="N14" s="208" t="e">
        <f t="shared" si="22"/>
        <v>#REF!</v>
      </c>
      <c r="O14" s="209">
        <f t="shared" si="22"/>
        <v>0</v>
      </c>
      <c r="P14" s="209">
        <f t="shared" si="0"/>
        <v>0</v>
      </c>
      <c r="Q14" s="198">
        <v>0</v>
      </c>
      <c r="R14" s="198">
        <v>0</v>
      </c>
      <c r="S14" s="199">
        <f t="shared" si="1"/>
        <v>0</v>
      </c>
      <c r="T14" s="200">
        <f t="shared" si="23"/>
        <v>0</v>
      </c>
      <c r="U14" s="200" t="e">
        <f t="shared" si="23"/>
        <v>#REF!</v>
      </c>
      <c r="V14" s="201">
        <f t="shared" si="23"/>
        <v>0</v>
      </c>
      <c r="W14" s="184">
        <f t="shared" si="14"/>
        <v>0</v>
      </c>
      <c r="X14" s="202">
        <v>0</v>
      </c>
      <c r="Y14" s="202">
        <v>0</v>
      </c>
      <c r="Z14" s="203">
        <f t="shared" si="2"/>
        <v>0</v>
      </c>
      <c r="AA14" s="204">
        <f t="shared" si="24"/>
        <v>0</v>
      </c>
      <c r="AB14" s="204" t="e">
        <f t="shared" si="24"/>
        <v>#REF!</v>
      </c>
      <c r="AC14" s="205">
        <f t="shared" si="24"/>
        <v>0</v>
      </c>
      <c r="AD14" s="188">
        <f t="shared" si="15"/>
        <v>0</v>
      </c>
      <c r="AE14" s="206">
        <v>0</v>
      </c>
      <c r="AF14" s="206">
        <v>0</v>
      </c>
      <c r="AG14" s="207">
        <f t="shared" si="3"/>
        <v>0</v>
      </c>
      <c r="AH14" s="208">
        <f t="shared" si="25"/>
        <v>0</v>
      </c>
      <c r="AI14" s="208" t="e">
        <f t="shared" si="25"/>
        <v>#REF!</v>
      </c>
      <c r="AJ14" s="209">
        <f t="shared" si="25"/>
        <v>0</v>
      </c>
      <c r="AK14" s="192">
        <f t="shared" si="16"/>
        <v>0</v>
      </c>
      <c r="AL14" s="198">
        <v>0</v>
      </c>
      <c r="AM14" s="198">
        <v>0</v>
      </c>
      <c r="AN14" s="199">
        <f t="shared" si="4"/>
        <v>0</v>
      </c>
      <c r="AO14" s="200">
        <f t="shared" si="26"/>
        <v>0</v>
      </c>
      <c r="AP14" s="200" t="e">
        <f t="shared" si="26"/>
        <v>#REF!</v>
      </c>
      <c r="AQ14" s="201">
        <f t="shared" si="26"/>
        <v>0</v>
      </c>
      <c r="AR14" s="183">
        <f t="shared" si="17"/>
        <v>0</v>
      </c>
      <c r="AS14" s="202">
        <v>0</v>
      </c>
      <c r="AT14" s="202">
        <v>0</v>
      </c>
      <c r="AU14" s="203">
        <f t="shared" si="5"/>
        <v>0</v>
      </c>
      <c r="AV14" s="1202">
        <f t="shared" si="18"/>
        <v>0</v>
      </c>
      <c r="AW14" s="210">
        <f t="shared" si="6"/>
        <v>0</v>
      </c>
      <c r="AX14" s="196" t="str">
        <f t="shared" si="7"/>
        <v/>
      </c>
      <c r="BB14" s="98">
        <f t="shared" si="8"/>
        <v>0</v>
      </c>
      <c r="BC14" s="968">
        <f t="shared" si="19"/>
        <v>0</v>
      </c>
      <c r="BF14" s="112" t="e">
        <f t="shared" si="20"/>
        <v>#REF!</v>
      </c>
      <c r="BG14" s="117" t="e">
        <f t="shared" si="9"/>
        <v>#REF!</v>
      </c>
      <c r="BH14" s="112" t="e">
        <f t="shared" si="10"/>
        <v>#REF!</v>
      </c>
      <c r="BI14" s="117" t="e">
        <f t="shared" si="11"/>
        <v>#REF!</v>
      </c>
      <c r="BJ14" s="98" t="e">
        <f t="shared" si="21"/>
        <v>#REF!</v>
      </c>
    </row>
    <row r="15" spans="1:62">
      <c r="A15" s="175">
        <v>0</v>
      </c>
      <c r="B15" s="195" t="s">
        <v>449</v>
      </c>
      <c r="C15" s="1203">
        <v>500</v>
      </c>
      <c r="D15" s="1204">
        <v>1</v>
      </c>
      <c r="E15" s="196">
        <f t="shared" si="12"/>
        <v>0</v>
      </c>
      <c r="F15" s="197">
        <v>0</v>
      </c>
      <c r="G15" s="179">
        <f>IF(Setup!$L$8="No",0,J15+Q15+X15+AE15)</f>
        <v>0</v>
      </c>
      <c r="H15" s="179"/>
      <c r="I15" s="179">
        <f>IF(Sources!$D$10&gt;0,J15+Q15+X15+AE15,IF(Sources!$D$11&gt;0,H15,0))</f>
        <v>0</v>
      </c>
      <c r="J15" s="206">
        <v>0</v>
      </c>
      <c r="K15" s="206">
        <v>0</v>
      </c>
      <c r="L15" s="207">
        <f t="shared" si="13"/>
        <v>0</v>
      </c>
      <c r="M15" s="208">
        <f t="shared" si="22"/>
        <v>0</v>
      </c>
      <c r="N15" s="208" t="e">
        <f t="shared" si="22"/>
        <v>#REF!</v>
      </c>
      <c r="O15" s="209">
        <f t="shared" si="22"/>
        <v>0</v>
      </c>
      <c r="P15" s="209">
        <f t="shared" si="0"/>
        <v>0</v>
      </c>
      <c r="Q15" s="198">
        <v>0</v>
      </c>
      <c r="R15" s="198">
        <v>0</v>
      </c>
      <c r="S15" s="199">
        <f t="shared" si="1"/>
        <v>0</v>
      </c>
      <c r="T15" s="200">
        <f t="shared" si="23"/>
        <v>0</v>
      </c>
      <c r="U15" s="200" t="e">
        <f t="shared" si="23"/>
        <v>#REF!</v>
      </c>
      <c r="V15" s="201">
        <f t="shared" si="23"/>
        <v>0</v>
      </c>
      <c r="W15" s="184">
        <f t="shared" si="14"/>
        <v>0</v>
      </c>
      <c r="X15" s="202">
        <v>0</v>
      </c>
      <c r="Y15" s="202">
        <v>0</v>
      </c>
      <c r="Z15" s="203">
        <f t="shared" si="2"/>
        <v>0</v>
      </c>
      <c r="AA15" s="204">
        <f t="shared" si="24"/>
        <v>0</v>
      </c>
      <c r="AB15" s="204" t="e">
        <f t="shared" si="24"/>
        <v>#REF!</v>
      </c>
      <c r="AC15" s="205">
        <f t="shared" si="24"/>
        <v>0</v>
      </c>
      <c r="AD15" s="188">
        <f t="shared" si="15"/>
        <v>0</v>
      </c>
      <c r="AE15" s="206">
        <v>0</v>
      </c>
      <c r="AF15" s="206">
        <v>0</v>
      </c>
      <c r="AG15" s="207">
        <f t="shared" si="3"/>
        <v>0</v>
      </c>
      <c r="AH15" s="208">
        <f t="shared" si="25"/>
        <v>0</v>
      </c>
      <c r="AI15" s="208" t="e">
        <f t="shared" si="25"/>
        <v>#REF!</v>
      </c>
      <c r="AJ15" s="209">
        <f t="shared" si="25"/>
        <v>0</v>
      </c>
      <c r="AK15" s="192">
        <f t="shared" si="16"/>
        <v>0</v>
      </c>
      <c r="AL15" s="198">
        <v>0</v>
      </c>
      <c r="AM15" s="198">
        <v>0</v>
      </c>
      <c r="AN15" s="199">
        <f t="shared" si="4"/>
        <v>0</v>
      </c>
      <c r="AO15" s="200">
        <f t="shared" si="26"/>
        <v>0</v>
      </c>
      <c r="AP15" s="200" t="e">
        <f t="shared" si="26"/>
        <v>#REF!</v>
      </c>
      <c r="AQ15" s="201">
        <f t="shared" si="26"/>
        <v>0</v>
      </c>
      <c r="AR15" s="183">
        <f t="shared" si="17"/>
        <v>0</v>
      </c>
      <c r="AS15" s="202">
        <v>0</v>
      </c>
      <c r="AT15" s="202">
        <v>0</v>
      </c>
      <c r="AU15" s="203">
        <f t="shared" si="5"/>
        <v>0</v>
      </c>
      <c r="AV15" s="1202">
        <f t="shared" si="18"/>
        <v>0</v>
      </c>
      <c r="AW15" s="210">
        <f t="shared" si="6"/>
        <v>0</v>
      </c>
      <c r="AX15" s="196" t="str">
        <f t="shared" si="7"/>
        <v/>
      </c>
      <c r="BB15" s="98">
        <f t="shared" si="8"/>
        <v>0</v>
      </c>
      <c r="BC15" s="968">
        <f t="shared" si="19"/>
        <v>0</v>
      </c>
      <c r="BF15" s="112" t="e">
        <f t="shared" si="20"/>
        <v>#REF!</v>
      </c>
      <c r="BG15" s="117" t="e">
        <f t="shared" si="9"/>
        <v>#REF!</v>
      </c>
      <c r="BH15" s="112" t="e">
        <f t="shared" si="10"/>
        <v>#REF!</v>
      </c>
      <c r="BI15" s="117" t="e">
        <f t="shared" si="11"/>
        <v>#REF!</v>
      </c>
      <c r="BJ15" s="98" t="e">
        <f t="shared" si="21"/>
        <v>#REF!</v>
      </c>
    </row>
    <row r="16" spans="1:62">
      <c r="A16" s="175">
        <v>0</v>
      </c>
      <c r="B16" s="195" t="s">
        <v>450</v>
      </c>
      <c r="C16" s="1203">
        <v>500</v>
      </c>
      <c r="D16" s="1204">
        <v>1</v>
      </c>
      <c r="E16" s="196">
        <f t="shared" si="12"/>
        <v>0</v>
      </c>
      <c r="F16" s="197">
        <v>0</v>
      </c>
      <c r="G16" s="179">
        <f>IF(Setup!$L$8="No",0,J16+Q16+X16+AE16)</f>
        <v>0</v>
      </c>
      <c r="H16" s="179"/>
      <c r="I16" s="179">
        <f>IF(Sources!$D$10&gt;0,J16+Q16+X16+AE16,IF(Sources!$D$11&gt;0,H16,0))</f>
        <v>0</v>
      </c>
      <c r="J16" s="206">
        <v>0</v>
      </c>
      <c r="K16" s="206">
        <v>0</v>
      </c>
      <c r="L16" s="207">
        <f t="shared" si="13"/>
        <v>0</v>
      </c>
      <c r="M16" s="208">
        <f t="shared" si="22"/>
        <v>0</v>
      </c>
      <c r="N16" s="208" t="e">
        <f t="shared" si="22"/>
        <v>#REF!</v>
      </c>
      <c r="O16" s="209">
        <f t="shared" si="22"/>
        <v>0</v>
      </c>
      <c r="P16" s="209">
        <f t="shared" si="0"/>
        <v>0</v>
      </c>
      <c r="Q16" s="198">
        <v>0</v>
      </c>
      <c r="R16" s="198">
        <v>0</v>
      </c>
      <c r="S16" s="199">
        <f t="shared" si="1"/>
        <v>0</v>
      </c>
      <c r="T16" s="200">
        <f t="shared" si="23"/>
        <v>0</v>
      </c>
      <c r="U16" s="200" t="e">
        <f t="shared" si="23"/>
        <v>#REF!</v>
      </c>
      <c r="V16" s="201">
        <f t="shared" si="23"/>
        <v>0</v>
      </c>
      <c r="W16" s="184">
        <f t="shared" si="14"/>
        <v>0</v>
      </c>
      <c r="X16" s="202">
        <v>0</v>
      </c>
      <c r="Y16" s="202">
        <v>0</v>
      </c>
      <c r="Z16" s="203">
        <f t="shared" si="2"/>
        <v>0</v>
      </c>
      <c r="AA16" s="204">
        <f t="shared" si="24"/>
        <v>0</v>
      </c>
      <c r="AB16" s="204" t="e">
        <f t="shared" si="24"/>
        <v>#REF!</v>
      </c>
      <c r="AC16" s="205">
        <f t="shared" si="24"/>
        <v>0</v>
      </c>
      <c r="AD16" s="188">
        <f t="shared" si="15"/>
        <v>0</v>
      </c>
      <c r="AE16" s="206">
        <v>0</v>
      </c>
      <c r="AF16" s="206">
        <v>0</v>
      </c>
      <c r="AG16" s="207">
        <f t="shared" si="3"/>
        <v>0</v>
      </c>
      <c r="AH16" s="208">
        <f t="shared" si="25"/>
        <v>0</v>
      </c>
      <c r="AI16" s="208" t="e">
        <f t="shared" si="25"/>
        <v>#REF!</v>
      </c>
      <c r="AJ16" s="209">
        <f t="shared" si="25"/>
        <v>0</v>
      </c>
      <c r="AK16" s="192">
        <f t="shared" si="16"/>
        <v>0</v>
      </c>
      <c r="AL16" s="198">
        <v>0</v>
      </c>
      <c r="AM16" s="198">
        <v>0</v>
      </c>
      <c r="AN16" s="199">
        <f t="shared" si="4"/>
        <v>0</v>
      </c>
      <c r="AO16" s="200">
        <f t="shared" si="26"/>
        <v>0</v>
      </c>
      <c r="AP16" s="200" t="e">
        <f t="shared" si="26"/>
        <v>#REF!</v>
      </c>
      <c r="AQ16" s="201">
        <f t="shared" si="26"/>
        <v>0</v>
      </c>
      <c r="AR16" s="183">
        <f t="shared" si="17"/>
        <v>0</v>
      </c>
      <c r="AS16" s="202">
        <v>0</v>
      </c>
      <c r="AT16" s="202">
        <v>0</v>
      </c>
      <c r="AU16" s="203">
        <f t="shared" si="5"/>
        <v>0</v>
      </c>
      <c r="AV16" s="1202">
        <f t="shared" si="18"/>
        <v>0</v>
      </c>
      <c r="AW16" s="210">
        <f t="shared" si="6"/>
        <v>0</v>
      </c>
      <c r="AX16" s="196" t="str">
        <f t="shared" si="7"/>
        <v/>
      </c>
      <c r="BB16" s="98">
        <f t="shared" si="8"/>
        <v>0</v>
      </c>
      <c r="BC16" s="968">
        <f t="shared" si="19"/>
        <v>0</v>
      </c>
      <c r="BF16" s="112" t="e">
        <f t="shared" si="20"/>
        <v>#REF!</v>
      </c>
      <c r="BG16" s="117" t="e">
        <f t="shared" si="9"/>
        <v>#REF!</v>
      </c>
      <c r="BH16" s="112" t="e">
        <f t="shared" si="10"/>
        <v>#REF!</v>
      </c>
      <c r="BI16" s="117" t="e">
        <f t="shared" si="11"/>
        <v>#REF!</v>
      </c>
      <c r="BJ16" s="98" t="e">
        <f t="shared" si="21"/>
        <v>#REF!</v>
      </c>
    </row>
    <row r="17" spans="1:62">
      <c r="A17" s="175">
        <v>0</v>
      </c>
      <c r="B17" s="195" t="s">
        <v>451</v>
      </c>
      <c r="C17" s="1203">
        <v>500</v>
      </c>
      <c r="D17" s="1204">
        <v>1</v>
      </c>
      <c r="E17" s="196">
        <f t="shared" si="12"/>
        <v>0</v>
      </c>
      <c r="F17" s="197">
        <v>0</v>
      </c>
      <c r="G17" s="179">
        <f>IF(Setup!$L$8="No",0,J17+Q17+X17+AE17)</f>
        <v>0</v>
      </c>
      <c r="H17" s="179"/>
      <c r="I17" s="179">
        <f>IF(Sources!$D$10&gt;0,J17+Q17+X17+AE17,IF(Sources!$D$11&gt;0,H17,0))</f>
        <v>0</v>
      </c>
      <c r="J17" s="206">
        <v>0</v>
      </c>
      <c r="K17" s="206">
        <v>0</v>
      </c>
      <c r="L17" s="207">
        <f t="shared" si="13"/>
        <v>0</v>
      </c>
      <c r="M17" s="208">
        <f t="shared" si="22"/>
        <v>0</v>
      </c>
      <c r="N17" s="208" t="e">
        <f t="shared" si="22"/>
        <v>#REF!</v>
      </c>
      <c r="O17" s="209">
        <f t="shared" si="22"/>
        <v>0</v>
      </c>
      <c r="P17" s="209">
        <f t="shared" si="0"/>
        <v>0</v>
      </c>
      <c r="Q17" s="198">
        <v>0</v>
      </c>
      <c r="R17" s="198">
        <v>0</v>
      </c>
      <c r="S17" s="199">
        <f t="shared" si="1"/>
        <v>0</v>
      </c>
      <c r="T17" s="200">
        <f t="shared" si="23"/>
        <v>0</v>
      </c>
      <c r="U17" s="200" t="e">
        <f t="shared" si="23"/>
        <v>#REF!</v>
      </c>
      <c r="V17" s="201">
        <f t="shared" si="23"/>
        <v>0</v>
      </c>
      <c r="W17" s="184">
        <f t="shared" si="14"/>
        <v>0</v>
      </c>
      <c r="X17" s="202">
        <v>0</v>
      </c>
      <c r="Y17" s="202">
        <v>0</v>
      </c>
      <c r="Z17" s="203">
        <f t="shared" si="2"/>
        <v>0</v>
      </c>
      <c r="AA17" s="204">
        <f t="shared" si="24"/>
        <v>0</v>
      </c>
      <c r="AB17" s="204" t="e">
        <f t="shared" si="24"/>
        <v>#REF!</v>
      </c>
      <c r="AC17" s="205">
        <f t="shared" si="24"/>
        <v>0</v>
      </c>
      <c r="AD17" s="188">
        <f t="shared" si="15"/>
        <v>0</v>
      </c>
      <c r="AE17" s="206">
        <v>0</v>
      </c>
      <c r="AF17" s="206">
        <v>0</v>
      </c>
      <c r="AG17" s="207">
        <f t="shared" si="3"/>
        <v>0</v>
      </c>
      <c r="AH17" s="208">
        <f t="shared" si="25"/>
        <v>0</v>
      </c>
      <c r="AI17" s="208" t="e">
        <f t="shared" si="25"/>
        <v>#REF!</v>
      </c>
      <c r="AJ17" s="209">
        <f t="shared" si="25"/>
        <v>0</v>
      </c>
      <c r="AK17" s="192">
        <f t="shared" si="16"/>
        <v>0</v>
      </c>
      <c r="AL17" s="198">
        <v>0</v>
      </c>
      <c r="AM17" s="198">
        <v>0</v>
      </c>
      <c r="AN17" s="199">
        <f t="shared" si="4"/>
        <v>0</v>
      </c>
      <c r="AO17" s="200">
        <f t="shared" si="26"/>
        <v>0</v>
      </c>
      <c r="AP17" s="200" t="e">
        <f t="shared" si="26"/>
        <v>#REF!</v>
      </c>
      <c r="AQ17" s="201">
        <f t="shared" si="26"/>
        <v>0</v>
      </c>
      <c r="AR17" s="183">
        <f t="shared" si="17"/>
        <v>0</v>
      </c>
      <c r="AS17" s="202">
        <v>0</v>
      </c>
      <c r="AT17" s="202">
        <v>0</v>
      </c>
      <c r="AU17" s="203">
        <f t="shared" si="5"/>
        <v>0</v>
      </c>
      <c r="AV17" s="1202">
        <f t="shared" si="18"/>
        <v>0</v>
      </c>
      <c r="AW17" s="210">
        <f t="shared" si="6"/>
        <v>0</v>
      </c>
      <c r="AX17" s="196" t="str">
        <f t="shared" si="7"/>
        <v/>
      </c>
      <c r="BB17" s="98">
        <f t="shared" si="8"/>
        <v>0</v>
      </c>
      <c r="BC17" s="968">
        <f t="shared" si="19"/>
        <v>0</v>
      </c>
      <c r="BF17" s="112" t="e">
        <f t="shared" si="20"/>
        <v>#REF!</v>
      </c>
      <c r="BG17" s="117" t="e">
        <f t="shared" si="9"/>
        <v>#REF!</v>
      </c>
      <c r="BH17" s="112" t="e">
        <f t="shared" si="10"/>
        <v>#REF!</v>
      </c>
      <c r="BI17" s="117" t="e">
        <f t="shared" si="11"/>
        <v>#REF!</v>
      </c>
      <c r="BJ17" s="98" t="e">
        <f t="shared" si="21"/>
        <v>#REF!</v>
      </c>
    </row>
    <row r="18" spans="1:62" hidden="1" outlineLevel="1">
      <c r="A18" s="175">
        <v>0</v>
      </c>
      <c r="B18" s="195" t="s">
        <v>452</v>
      </c>
      <c r="C18" s="1203">
        <v>500</v>
      </c>
      <c r="D18" s="1204">
        <v>1</v>
      </c>
      <c r="E18" s="196">
        <f t="shared" si="12"/>
        <v>0</v>
      </c>
      <c r="F18" s="197">
        <v>0</v>
      </c>
      <c r="G18" s="179">
        <f>IF(Setup!$L$8="No",0,J18+Q18+X18+AE18)</f>
        <v>0</v>
      </c>
      <c r="H18" s="179"/>
      <c r="I18" s="179">
        <f>IF(Sources!$D$10&gt;0,J18+Q18+X18+AE18,IF(Sources!$D$11&gt;0,H18,0))</f>
        <v>0</v>
      </c>
      <c r="J18" s="206">
        <v>0</v>
      </c>
      <c r="K18" s="206">
        <v>0</v>
      </c>
      <c r="L18" s="207">
        <f t="shared" si="13"/>
        <v>0</v>
      </c>
      <c r="M18" s="208">
        <f t="shared" si="22"/>
        <v>0</v>
      </c>
      <c r="N18" s="208" t="e">
        <f t="shared" si="22"/>
        <v>#REF!</v>
      </c>
      <c r="O18" s="209">
        <f t="shared" si="22"/>
        <v>0</v>
      </c>
      <c r="P18" s="209">
        <f t="shared" si="0"/>
        <v>0</v>
      </c>
      <c r="Q18" s="198">
        <v>0</v>
      </c>
      <c r="R18" s="198">
        <v>0</v>
      </c>
      <c r="S18" s="199">
        <f t="shared" si="1"/>
        <v>0</v>
      </c>
      <c r="T18" s="200">
        <f t="shared" si="23"/>
        <v>0</v>
      </c>
      <c r="U18" s="200" t="e">
        <f t="shared" si="23"/>
        <v>#REF!</v>
      </c>
      <c r="V18" s="201">
        <f t="shared" si="23"/>
        <v>0</v>
      </c>
      <c r="W18" s="184">
        <f t="shared" si="14"/>
        <v>0</v>
      </c>
      <c r="X18" s="202">
        <v>0</v>
      </c>
      <c r="Y18" s="202">
        <v>0</v>
      </c>
      <c r="Z18" s="203">
        <f t="shared" si="2"/>
        <v>0</v>
      </c>
      <c r="AA18" s="204">
        <f t="shared" si="24"/>
        <v>0</v>
      </c>
      <c r="AB18" s="204" t="e">
        <f t="shared" si="24"/>
        <v>#REF!</v>
      </c>
      <c r="AC18" s="205">
        <f t="shared" si="24"/>
        <v>0</v>
      </c>
      <c r="AD18" s="188">
        <f t="shared" si="15"/>
        <v>0</v>
      </c>
      <c r="AE18" s="206">
        <v>0</v>
      </c>
      <c r="AF18" s="206">
        <v>0</v>
      </c>
      <c r="AG18" s="207">
        <f t="shared" si="3"/>
        <v>0</v>
      </c>
      <c r="AH18" s="208">
        <f t="shared" si="25"/>
        <v>0</v>
      </c>
      <c r="AI18" s="208" t="e">
        <f t="shared" si="25"/>
        <v>#REF!</v>
      </c>
      <c r="AJ18" s="209">
        <f t="shared" si="25"/>
        <v>0</v>
      </c>
      <c r="AK18" s="192">
        <f t="shared" si="16"/>
        <v>0</v>
      </c>
      <c r="AL18" s="198">
        <v>0</v>
      </c>
      <c r="AM18" s="198">
        <v>0</v>
      </c>
      <c r="AN18" s="199">
        <f t="shared" si="4"/>
        <v>0</v>
      </c>
      <c r="AO18" s="200">
        <f t="shared" si="26"/>
        <v>0</v>
      </c>
      <c r="AP18" s="200" t="e">
        <f t="shared" si="26"/>
        <v>#REF!</v>
      </c>
      <c r="AQ18" s="201">
        <f t="shared" si="26"/>
        <v>0</v>
      </c>
      <c r="AR18" s="183">
        <f t="shared" si="17"/>
        <v>0</v>
      </c>
      <c r="AS18" s="202">
        <v>0</v>
      </c>
      <c r="AT18" s="202">
        <v>0</v>
      </c>
      <c r="AU18" s="203">
        <f t="shared" si="5"/>
        <v>0</v>
      </c>
      <c r="AV18" s="1202">
        <f t="shared" si="18"/>
        <v>0</v>
      </c>
      <c r="AW18" s="210">
        <f t="shared" si="6"/>
        <v>0</v>
      </c>
      <c r="AX18" s="196" t="str">
        <f t="shared" si="7"/>
        <v/>
      </c>
      <c r="BB18" s="98">
        <f t="shared" si="8"/>
        <v>0</v>
      </c>
      <c r="BC18" s="968">
        <f t="shared" si="19"/>
        <v>0</v>
      </c>
      <c r="BF18" s="112" t="e">
        <f t="shared" si="20"/>
        <v>#REF!</v>
      </c>
      <c r="BG18" s="117" t="e">
        <f t="shared" si="9"/>
        <v>#REF!</v>
      </c>
      <c r="BH18" s="112" t="e">
        <f t="shared" si="10"/>
        <v>#REF!</v>
      </c>
      <c r="BI18" s="117" t="e">
        <f t="shared" si="11"/>
        <v>#REF!</v>
      </c>
      <c r="BJ18" s="98" t="e">
        <f t="shared" si="21"/>
        <v>#REF!</v>
      </c>
    </row>
    <row r="19" spans="1:62" hidden="1" outlineLevel="1">
      <c r="A19" s="175">
        <v>0</v>
      </c>
      <c r="B19" s="195" t="s">
        <v>453</v>
      </c>
      <c r="C19" s="1203">
        <v>500</v>
      </c>
      <c r="D19" s="1204">
        <v>1</v>
      </c>
      <c r="E19" s="196">
        <f t="shared" si="12"/>
        <v>0</v>
      </c>
      <c r="F19" s="197">
        <v>0</v>
      </c>
      <c r="G19" s="179">
        <f>IF(Setup!$L$8="No",0,J19+Q19+X19+AE19)</f>
        <v>0</v>
      </c>
      <c r="H19" s="179"/>
      <c r="I19" s="179">
        <f>IF(Sources!$D$10&gt;0,J19+Q19+X19+AE19,IF(Sources!$D$11&gt;0,H19,0))</f>
        <v>0</v>
      </c>
      <c r="J19" s="206">
        <v>0</v>
      </c>
      <c r="K19" s="206">
        <v>0</v>
      </c>
      <c r="L19" s="207">
        <f t="shared" si="13"/>
        <v>0</v>
      </c>
      <c r="M19" s="208">
        <f t="shared" si="22"/>
        <v>0</v>
      </c>
      <c r="N19" s="208" t="e">
        <f t="shared" si="22"/>
        <v>#REF!</v>
      </c>
      <c r="O19" s="209">
        <f t="shared" si="22"/>
        <v>0</v>
      </c>
      <c r="P19" s="209">
        <f t="shared" si="0"/>
        <v>0</v>
      </c>
      <c r="Q19" s="198">
        <v>0</v>
      </c>
      <c r="R19" s="198">
        <v>0</v>
      </c>
      <c r="S19" s="199">
        <f t="shared" si="1"/>
        <v>0</v>
      </c>
      <c r="T19" s="200">
        <f t="shared" si="23"/>
        <v>0</v>
      </c>
      <c r="U19" s="200" t="e">
        <f t="shared" si="23"/>
        <v>#REF!</v>
      </c>
      <c r="V19" s="201">
        <f t="shared" si="23"/>
        <v>0</v>
      </c>
      <c r="W19" s="184">
        <f t="shared" si="14"/>
        <v>0</v>
      </c>
      <c r="X19" s="202">
        <v>0</v>
      </c>
      <c r="Y19" s="202">
        <v>0</v>
      </c>
      <c r="Z19" s="203">
        <f t="shared" si="2"/>
        <v>0</v>
      </c>
      <c r="AA19" s="204">
        <f t="shared" si="24"/>
        <v>0</v>
      </c>
      <c r="AB19" s="204" t="e">
        <f t="shared" si="24"/>
        <v>#REF!</v>
      </c>
      <c r="AC19" s="205">
        <f t="shared" si="24"/>
        <v>0</v>
      </c>
      <c r="AD19" s="188">
        <f t="shared" si="15"/>
        <v>0</v>
      </c>
      <c r="AE19" s="206">
        <v>0</v>
      </c>
      <c r="AF19" s="206">
        <v>0</v>
      </c>
      <c r="AG19" s="207">
        <f t="shared" si="3"/>
        <v>0</v>
      </c>
      <c r="AH19" s="208">
        <f t="shared" si="25"/>
        <v>0</v>
      </c>
      <c r="AI19" s="208" t="e">
        <f t="shared" si="25"/>
        <v>#REF!</v>
      </c>
      <c r="AJ19" s="209">
        <f t="shared" si="25"/>
        <v>0</v>
      </c>
      <c r="AK19" s="192">
        <f t="shared" si="16"/>
        <v>0</v>
      </c>
      <c r="AL19" s="198">
        <v>0</v>
      </c>
      <c r="AM19" s="198">
        <v>0</v>
      </c>
      <c r="AN19" s="199">
        <f t="shared" si="4"/>
        <v>0</v>
      </c>
      <c r="AO19" s="200">
        <f t="shared" si="26"/>
        <v>0</v>
      </c>
      <c r="AP19" s="200" t="e">
        <f t="shared" si="26"/>
        <v>#REF!</v>
      </c>
      <c r="AQ19" s="201">
        <f t="shared" si="26"/>
        <v>0</v>
      </c>
      <c r="AR19" s="183">
        <f t="shared" si="17"/>
        <v>0</v>
      </c>
      <c r="AS19" s="202">
        <v>0</v>
      </c>
      <c r="AT19" s="202">
        <v>0</v>
      </c>
      <c r="AU19" s="203">
        <f t="shared" si="5"/>
        <v>0</v>
      </c>
      <c r="AV19" s="1202">
        <f t="shared" si="18"/>
        <v>0</v>
      </c>
      <c r="AW19" s="210">
        <f t="shared" si="6"/>
        <v>0</v>
      </c>
      <c r="AX19" s="196" t="str">
        <f t="shared" si="7"/>
        <v/>
      </c>
      <c r="BB19" s="98">
        <f t="shared" si="8"/>
        <v>0</v>
      </c>
      <c r="BC19" s="968">
        <f t="shared" si="19"/>
        <v>0</v>
      </c>
      <c r="BF19" s="112" t="e">
        <f t="shared" si="20"/>
        <v>#REF!</v>
      </c>
      <c r="BG19" s="117" t="e">
        <f t="shared" si="9"/>
        <v>#REF!</v>
      </c>
      <c r="BH19" s="112" t="e">
        <f t="shared" si="10"/>
        <v>#REF!</v>
      </c>
      <c r="BI19" s="117" t="e">
        <f t="shared" si="11"/>
        <v>#REF!</v>
      </c>
      <c r="BJ19" s="98" t="e">
        <f t="shared" si="21"/>
        <v>#REF!</v>
      </c>
    </row>
    <row r="20" spans="1:62" hidden="1" outlineLevel="1">
      <c r="A20" s="175">
        <v>0</v>
      </c>
      <c r="B20" s="195" t="s">
        <v>454</v>
      </c>
      <c r="C20" s="1203">
        <v>500</v>
      </c>
      <c r="D20" s="1204">
        <v>1</v>
      </c>
      <c r="E20" s="196">
        <f t="shared" si="12"/>
        <v>0</v>
      </c>
      <c r="F20" s="197">
        <v>0</v>
      </c>
      <c r="G20" s="179">
        <f>IF(Setup!$L$8="No",0,J20+Q20+X20+AE20)</f>
        <v>0</v>
      </c>
      <c r="H20" s="179"/>
      <c r="I20" s="179">
        <f>IF(Sources!$D$10&gt;0,J20+Q20+X20+AE20,IF(Sources!$D$11&gt;0,H20,0))</f>
        <v>0</v>
      </c>
      <c r="J20" s="206">
        <v>0</v>
      </c>
      <c r="K20" s="206">
        <v>0</v>
      </c>
      <c r="L20" s="207">
        <f t="shared" si="13"/>
        <v>0</v>
      </c>
      <c r="M20" s="208">
        <f t="shared" si="22"/>
        <v>0</v>
      </c>
      <c r="N20" s="208" t="e">
        <f t="shared" si="22"/>
        <v>#REF!</v>
      </c>
      <c r="O20" s="209">
        <f t="shared" si="22"/>
        <v>0</v>
      </c>
      <c r="P20" s="209">
        <f t="shared" si="0"/>
        <v>0</v>
      </c>
      <c r="Q20" s="198">
        <v>0</v>
      </c>
      <c r="R20" s="198">
        <v>0</v>
      </c>
      <c r="S20" s="199">
        <f t="shared" si="1"/>
        <v>0</v>
      </c>
      <c r="T20" s="200">
        <f t="shared" si="23"/>
        <v>0</v>
      </c>
      <c r="U20" s="200" t="e">
        <f t="shared" si="23"/>
        <v>#REF!</v>
      </c>
      <c r="V20" s="201">
        <f t="shared" si="23"/>
        <v>0</v>
      </c>
      <c r="W20" s="184">
        <f t="shared" si="14"/>
        <v>0</v>
      </c>
      <c r="X20" s="202">
        <v>0</v>
      </c>
      <c r="Y20" s="202">
        <v>0</v>
      </c>
      <c r="Z20" s="203">
        <f t="shared" si="2"/>
        <v>0</v>
      </c>
      <c r="AA20" s="204">
        <f t="shared" si="24"/>
        <v>0</v>
      </c>
      <c r="AB20" s="204" t="e">
        <f t="shared" si="24"/>
        <v>#REF!</v>
      </c>
      <c r="AC20" s="205">
        <f t="shared" si="24"/>
        <v>0</v>
      </c>
      <c r="AD20" s="188">
        <f t="shared" si="15"/>
        <v>0</v>
      </c>
      <c r="AE20" s="206">
        <v>0</v>
      </c>
      <c r="AF20" s="206">
        <v>0</v>
      </c>
      <c r="AG20" s="207">
        <f t="shared" si="3"/>
        <v>0</v>
      </c>
      <c r="AH20" s="208">
        <f t="shared" si="25"/>
        <v>0</v>
      </c>
      <c r="AI20" s="208" t="e">
        <f t="shared" si="25"/>
        <v>#REF!</v>
      </c>
      <c r="AJ20" s="209">
        <f t="shared" si="25"/>
        <v>0</v>
      </c>
      <c r="AK20" s="192">
        <f t="shared" si="16"/>
        <v>0</v>
      </c>
      <c r="AL20" s="198">
        <v>0</v>
      </c>
      <c r="AM20" s="198">
        <v>0</v>
      </c>
      <c r="AN20" s="199">
        <f t="shared" si="4"/>
        <v>0</v>
      </c>
      <c r="AO20" s="200">
        <f t="shared" si="26"/>
        <v>0</v>
      </c>
      <c r="AP20" s="200" t="e">
        <f t="shared" si="26"/>
        <v>#REF!</v>
      </c>
      <c r="AQ20" s="201">
        <f t="shared" si="26"/>
        <v>0</v>
      </c>
      <c r="AR20" s="183">
        <f t="shared" si="17"/>
        <v>0</v>
      </c>
      <c r="AS20" s="202">
        <v>0</v>
      </c>
      <c r="AT20" s="202">
        <v>0</v>
      </c>
      <c r="AU20" s="203">
        <f t="shared" si="5"/>
        <v>0</v>
      </c>
      <c r="AV20" s="1202">
        <f t="shared" si="18"/>
        <v>0</v>
      </c>
      <c r="AW20" s="210">
        <f t="shared" si="6"/>
        <v>0</v>
      </c>
      <c r="AX20" s="196" t="str">
        <f t="shared" si="7"/>
        <v/>
      </c>
      <c r="BB20" s="98">
        <f t="shared" si="8"/>
        <v>0</v>
      </c>
      <c r="BC20" s="968">
        <f t="shared" si="19"/>
        <v>0</v>
      </c>
      <c r="BF20" s="112" t="e">
        <f t="shared" si="20"/>
        <v>#REF!</v>
      </c>
      <c r="BG20" s="117" t="e">
        <f t="shared" si="9"/>
        <v>#REF!</v>
      </c>
      <c r="BH20" s="112" t="e">
        <f t="shared" si="10"/>
        <v>#REF!</v>
      </c>
      <c r="BI20" s="117" t="e">
        <f t="shared" si="11"/>
        <v>#REF!</v>
      </c>
      <c r="BJ20" s="98" t="e">
        <f t="shared" si="21"/>
        <v>#REF!</v>
      </c>
    </row>
    <row r="21" spans="1:62" hidden="1" outlineLevel="1">
      <c r="A21" s="175">
        <v>0</v>
      </c>
      <c r="B21" s="195" t="s">
        <v>455</v>
      </c>
      <c r="C21" s="1203">
        <v>500</v>
      </c>
      <c r="D21" s="1204">
        <v>1</v>
      </c>
      <c r="E21" s="196">
        <f t="shared" si="12"/>
        <v>0</v>
      </c>
      <c r="F21" s="197">
        <v>0</v>
      </c>
      <c r="G21" s="179">
        <f>IF(Setup!$L$8="No",0,J21+Q21+X21+AE21)</f>
        <v>0</v>
      </c>
      <c r="H21" s="179"/>
      <c r="I21" s="179">
        <f>IF(Sources!$D$10&gt;0,J21+Q21+X21+AE21,IF(Sources!$D$11&gt;0,H21,0))</f>
        <v>0</v>
      </c>
      <c r="J21" s="206">
        <v>0</v>
      </c>
      <c r="K21" s="206">
        <v>0</v>
      </c>
      <c r="L21" s="207">
        <f t="shared" si="13"/>
        <v>0</v>
      </c>
      <c r="M21" s="208">
        <f t="shared" si="22"/>
        <v>0</v>
      </c>
      <c r="N21" s="208" t="e">
        <f t="shared" si="22"/>
        <v>#REF!</v>
      </c>
      <c r="O21" s="209">
        <f t="shared" si="22"/>
        <v>0</v>
      </c>
      <c r="P21" s="209">
        <f t="shared" si="0"/>
        <v>0</v>
      </c>
      <c r="Q21" s="198">
        <v>0</v>
      </c>
      <c r="R21" s="198">
        <v>0</v>
      </c>
      <c r="S21" s="199">
        <f t="shared" si="1"/>
        <v>0</v>
      </c>
      <c r="T21" s="200">
        <f t="shared" si="23"/>
        <v>0</v>
      </c>
      <c r="U21" s="200" t="e">
        <f t="shared" si="23"/>
        <v>#REF!</v>
      </c>
      <c r="V21" s="201">
        <f t="shared" si="23"/>
        <v>0</v>
      </c>
      <c r="W21" s="184">
        <f t="shared" si="14"/>
        <v>0</v>
      </c>
      <c r="X21" s="202">
        <v>0</v>
      </c>
      <c r="Y21" s="202">
        <v>0</v>
      </c>
      <c r="Z21" s="203">
        <f t="shared" si="2"/>
        <v>0</v>
      </c>
      <c r="AA21" s="204">
        <f t="shared" si="24"/>
        <v>0</v>
      </c>
      <c r="AB21" s="204" t="e">
        <f t="shared" si="24"/>
        <v>#REF!</v>
      </c>
      <c r="AC21" s="205">
        <f t="shared" si="24"/>
        <v>0</v>
      </c>
      <c r="AD21" s="188">
        <f t="shared" si="15"/>
        <v>0</v>
      </c>
      <c r="AE21" s="206">
        <v>0</v>
      </c>
      <c r="AF21" s="206">
        <v>0</v>
      </c>
      <c r="AG21" s="207">
        <f t="shared" si="3"/>
        <v>0</v>
      </c>
      <c r="AH21" s="208">
        <f t="shared" si="25"/>
        <v>0</v>
      </c>
      <c r="AI21" s="208" t="e">
        <f t="shared" si="25"/>
        <v>#REF!</v>
      </c>
      <c r="AJ21" s="209">
        <f t="shared" si="25"/>
        <v>0</v>
      </c>
      <c r="AK21" s="192">
        <f t="shared" si="16"/>
        <v>0</v>
      </c>
      <c r="AL21" s="198">
        <v>0</v>
      </c>
      <c r="AM21" s="198">
        <v>0</v>
      </c>
      <c r="AN21" s="199">
        <f t="shared" si="4"/>
        <v>0</v>
      </c>
      <c r="AO21" s="200">
        <f t="shared" si="26"/>
        <v>0</v>
      </c>
      <c r="AP21" s="200" t="e">
        <f t="shared" si="26"/>
        <v>#REF!</v>
      </c>
      <c r="AQ21" s="201">
        <f t="shared" si="26"/>
        <v>0</v>
      </c>
      <c r="AR21" s="183">
        <f t="shared" si="17"/>
        <v>0</v>
      </c>
      <c r="AS21" s="202">
        <v>0</v>
      </c>
      <c r="AT21" s="202">
        <v>0</v>
      </c>
      <c r="AU21" s="203">
        <f t="shared" si="5"/>
        <v>0</v>
      </c>
      <c r="AV21" s="1202">
        <f t="shared" si="18"/>
        <v>0</v>
      </c>
      <c r="AW21" s="210">
        <f t="shared" si="6"/>
        <v>0</v>
      </c>
      <c r="AX21" s="196" t="str">
        <f t="shared" si="7"/>
        <v/>
      </c>
      <c r="BB21" s="98">
        <f t="shared" si="8"/>
        <v>0</v>
      </c>
      <c r="BC21" s="968">
        <f t="shared" si="19"/>
        <v>0</v>
      </c>
      <c r="BF21" s="112" t="e">
        <f t="shared" si="20"/>
        <v>#REF!</v>
      </c>
      <c r="BG21" s="117" t="e">
        <f t="shared" si="9"/>
        <v>#REF!</v>
      </c>
      <c r="BH21" s="112" t="e">
        <f t="shared" si="10"/>
        <v>#REF!</v>
      </c>
      <c r="BI21" s="117" t="e">
        <f t="shared" si="11"/>
        <v>#REF!</v>
      </c>
      <c r="BJ21" s="98" t="e">
        <f t="shared" si="21"/>
        <v>#REF!</v>
      </c>
    </row>
    <row r="22" spans="1:62" hidden="1" outlineLevel="1">
      <c r="A22" s="175">
        <v>0</v>
      </c>
      <c r="B22" s="195" t="s">
        <v>456</v>
      </c>
      <c r="C22" s="1203">
        <v>500</v>
      </c>
      <c r="D22" s="1204">
        <v>1</v>
      </c>
      <c r="E22" s="196">
        <f t="shared" si="12"/>
        <v>0</v>
      </c>
      <c r="F22" s="197">
        <v>0</v>
      </c>
      <c r="G22" s="179">
        <f>IF(Setup!$L$8="No",0,J22+Q22+X22+AE22)</f>
        <v>0</v>
      </c>
      <c r="H22" s="179"/>
      <c r="I22" s="179">
        <f>IF(Sources!$D$10&gt;0,J22+Q22+X22+AE22,IF(Sources!$D$11&gt;0,H22,0))</f>
        <v>0</v>
      </c>
      <c r="J22" s="206">
        <v>0</v>
      </c>
      <c r="K22" s="206">
        <v>0</v>
      </c>
      <c r="L22" s="207">
        <f t="shared" si="13"/>
        <v>0</v>
      </c>
      <c r="M22" s="208">
        <f t="shared" si="22"/>
        <v>0</v>
      </c>
      <c r="N22" s="208" t="e">
        <f t="shared" si="22"/>
        <v>#REF!</v>
      </c>
      <c r="O22" s="209">
        <f t="shared" si="22"/>
        <v>0</v>
      </c>
      <c r="P22" s="209">
        <f t="shared" si="0"/>
        <v>0</v>
      </c>
      <c r="Q22" s="198">
        <v>0</v>
      </c>
      <c r="R22" s="198">
        <v>0</v>
      </c>
      <c r="S22" s="199">
        <f t="shared" si="1"/>
        <v>0</v>
      </c>
      <c r="T22" s="200">
        <f t="shared" si="23"/>
        <v>0</v>
      </c>
      <c r="U22" s="200" t="e">
        <f t="shared" si="23"/>
        <v>#REF!</v>
      </c>
      <c r="V22" s="201">
        <f t="shared" si="23"/>
        <v>0</v>
      </c>
      <c r="W22" s="184">
        <f t="shared" si="14"/>
        <v>0</v>
      </c>
      <c r="X22" s="202">
        <v>0</v>
      </c>
      <c r="Y22" s="202">
        <v>0</v>
      </c>
      <c r="Z22" s="203">
        <f t="shared" si="2"/>
        <v>0</v>
      </c>
      <c r="AA22" s="204">
        <f t="shared" si="24"/>
        <v>0</v>
      </c>
      <c r="AB22" s="204" t="e">
        <f t="shared" si="24"/>
        <v>#REF!</v>
      </c>
      <c r="AC22" s="205">
        <f t="shared" si="24"/>
        <v>0</v>
      </c>
      <c r="AD22" s="188">
        <f t="shared" si="15"/>
        <v>0</v>
      </c>
      <c r="AE22" s="206">
        <v>0</v>
      </c>
      <c r="AF22" s="206">
        <v>0</v>
      </c>
      <c r="AG22" s="207">
        <f t="shared" si="3"/>
        <v>0</v>
      </c>
      <c r="AH22" s="208">
        <f t="shared" si="25"/>
        <v>0</v>
      </c>
      <c r="AI22" s="208" t="e">
        <f t="shared" si="25"/>
        <v>#REF!</v>
      </c>
      <c r="AJ22" s="209">
        <f t="shared" si="25"/>
        <v>0</v>
      </c>
      <c r="AK22" s="192">
        <f t="shared" si="16"/>
        <v>0</v>
      </c>
      <c r="AL22" s="198">
        <v>0</v>
      </c>
      <c r="AM22" s="198">
        <v>0</v>
      </c>
      <c r="AN22" s="199">
        <f t="shared" si="4"/>
        <v>0</v>
      </c>
      <c r="AO22" s="200">
        <f t="shared" si="26"/>
        <v>0</v>
      </c>
      <c r="AP22" s="200" t="e">
        <f t="shared" si="26"/>
        <v>#REF!</v>
      </c>
      <c r="AQ22" s="201">
        <f t="shared" si="26"/>
        <v>0</v>
      </c>
      <c r="AR22" s="183">
        <f t="shared" si="17"/>
        <v>0</v>
      </c>
      <c r="AS22" s="202">
        <v>0</v>
      </c>
      <c r="AT22" s="202">
        <v>0</v>
      </c>
      <c r="AU22" s="203">
        <f t="shared" si="5"/>
        <v>0</v>
      </c>
      <c r="AV22" s="1202">
        <f t="shared" si="18"/>
        <v>0</v>
      </c>
      <c r="AW22" s="210">
        <f t="shared" si="6"/>
        <v>0</v>
      </c>
      <c r="AX22" s="196" t="str">
        <f t="shared" si="7"/>
        <v/>
      </c>
      <c r="BB22" s="98">
        <f t="shared" si="8"/>
        <v>0</v>
      </c>
      <c r="BC22" s="968">
        <f t="shared" si="19"/>
        <v>0</v>
      </c>
      <c r="BF22" s="112" t="e">
        <f t="shared" si="20"/>
        <v>#REF!</v>
      </c>
      <c r="BG22" s="117" t="e">
        <f t="shared" si="9"/>
        <v>#REF!</v>
      </c>
      <c r="BH22" s="112" t="e">
        <f t="shared" si="10"/>
        <v>#REF!</v>
      </c>
      <c r="BI22" s="117" t="e">
        <f t="shared" si="11"/>
        <v>#REF!</v>
      </c>
      <c r="BJ22" s="98" t="e">
        <f t="shared" si="21"/>
        <v>#REF!</v>
      </c>
    </row>
    <row r="23" spans="1:62" s="219" customFormat="1" collapsed="1">
      <c r="A23" s="1205" t="s">
        <v>457</v>
      </c>
      <c r="B23" s="1206"/>
      <c r="C23" s="1206">
        <f>C10*AV10+AV11*C11+AV12*C12+AV13*C13+AV14*C14+AV15*C15+AV16*C16+AV17*C17+AV18*C18+AV19*C19+AV20*C20+AV21*C21+AV22*C22</f>
        <v>0</v>
      </c>
      <c r="D23" s="1206"/>
      <c r="E23" s="1206"/>
      <c r="F23" s="1206">
        <f>SUM(F10:F22)</f>
        <v>0</v>
      </c>
      <c r="G23" s="1206">
        <f>SUM(G10:G22)</f>
        <v>0</v>
      </c>
      <c r="H23" s="1206">
        <f>SUM(H10:H22)</f>
        <v>0</v>
      </c>
      <c r="I23" s="1206">
        <f>SUM(I10:I22)</f>
        <v>0</v>
      </c>
      <c r="J23" s="211">
        <f>SUM(J10:J22)</f>
        <v>0</v>
      </c>
      <c r="K23" s="211">
        <f>K10*J10+K11*J11+K17*J17+K18*J18+K19*J19+K20*J20+K21*J21+K22*J22+K12*J12+K13*J13+K14*J14+K15*J15+K16*J16</f>
        <v>0</v>
      </c>
      <c r="L23" s="211"/>
      <c r="M23" s="212"/>
      <c r="N23" s="212"/>
      <c r="O23" s="212"/>
      <c r="P23" s="212"/>
      <c r="Q23" s="213">
        <f>SUM(Q10:Q22)</f>
        <v>0</v>
      </c>
      <c r="R23" s="213">
        <f>R10*Q10+R11*Q11+R17*Q17+R18*Q18+R19*Q19+R20*Q20+R21*Q21+R22*Q22+R12*Q12+R13*Q13+R14*Q14+R15*Q15+R16*Q16</f>
        <v>0</v>
      </c>
      <c r="S23" s="213"/>
      <c r="T23" s="214"/>
      <c r="U23" s="214"/>
      <c r="V23" s="214"/>
      <c r="W23" s="214"/>
      <c r="X23" s="215">
        <f>SUM(X10:X22)</f>
        <v>0</v>
      </c>
      <c r="Y23" s="215">
        <f>Y10*X10+Y11*X11+Y17*X17+Y18*X18+Y19*X19+Y20*X20+Y21*X21+Y22*X22+Y12*X12+Y13*X13+Y14*X14+Y15*X15+Y16*X16</f>
        <v>0</v>
      </c>
      <c r="Z23" s="215"/>
      <c r="AA23" s="216"/>
      <c r="AB23" s="216"/>
      <c r="AC23" s="216"/>
      <c r="AD23" s="216"/>
      <c r="AE23" s="211">
        <f>SUM(AE10:AE22)</f>
        <v>0</v>
      </c>
      <c r="AF23" s="211">
        <f>AF10*AE10+AF11*AE11+AF17*AE17+AF18*AE18+AF19*AE19+AF20*AE20+AF21*AE21+AF22*AE22+AF12*AE12+AF13*AE13+AF14*AE14+AF15*AE15+AF16*AE16</f>
        <v>0</v>
      </c>
      <c r="AG23" s="211"/>
      <c r="AH23" s="212"/>
      <c r="AI23" s="212"/>
      <c r="AJ23" s="212"/>
      <c r="AK23" s="212"/>
      <c r="AL23" s="213">
        <f>SUM(AL10:AL22)</f>
        <v>0</v>
      </c>
      <c r="AM23" s="213">
        <f>AM10*AL10+AM11*AL11+AM17*AL17+AM18*AL18+AM19*AL19+AM20*AL20+AM21*AL21+AM22*AL22+AM12*AL12+AM13*AL13+AM14*AL14+AM15*AL15+AM16*AL16</f>
        <v>0</v>
      </c>
      <c r="AN23" s="213"/>
      <c r="AO23" s="214"/>
      <c r="AP23" s="214"/>
      <c r="AQ23" s="214"/>
      <c r="AR23" s="214"/>
      <c r="AS23" s="215">
        <f>SUM(AS10:AS22)</f>
        <v>0</v>
      </c>
      <c r="AT23" s="215">
        <f>AT10*AS10+AT11*AS11+AT17*AS17+AT18*AS18+AT19*AS19+AT20*AS20+AT21*AS21+AT22*AS22+AT12*AS12+AT13*AS13+AT14*AS14+AT15*AS15+AT16*AS16</f>
        <v>0</v>
      </c>
      <c r="AU23" s="215"/>
      <c r="AV23" s="1202">
        <f t="shared" si="18"/>
        <v>0</v>
      </c>
      <c r="AW23" s="217">
        <f>AF23+AT23+Y23+R23+K23+AM23</f>
        <v>0</v>
      </c>
      <c r="AX23" s="1206" t="str">
        <f t="shared" si="7"/>
        <v/>
      </c>
      <c r="AY23" s="218"/>
      <c r="AZ23" s="218"/>
      <c r="BA23" s="218"/>
      <c r="BB23" s="1207">
        <f>SUM(BB10:BB22)</f>
        <v>0</v>
      </c>
      <c r="BC23" s="218">
        <f>SUM(BC10:BC22)</f>
        <v>0</v>
      </c>
      <c r="BD23" s="218"/>
      <c r="BE23" s="218"/>
      <c r="BF23" s="220"/>
      <c r="BG23" s="221"/>
      <c r="BH23" s="220"/>
      <c r="BI23" s="221"/>
      <c r="BJ23" s="1207"/>
    </row>
    <row r="24" spans="1:62">
      <c r="A24" s="175">
        <v>1</v>
      </c>
      <c r="B24" s="195" t="s">
        <v>458</v>
      </c>
      <c r="C24" s="1203">
        <v>700</v>
      </c>
      <c r="D24" s="1204">
        <v>1</v>
      </c>
      <c r="E24" s="196">
        <f>Setup!L49</f>
        <v>0</v>
      </c>
      <c r="F24" s="197">
        <v>0</v>
      </c>
      <c r="G24" s="179">
        <f>IF(Setup!$L$8="No",0,J24+Q24+X24+AE24)+IF(Setup!$R$21="No",0,'Units&amp;Income'!AL24)</f>
        <v>0</v>
      </c>
      <c r="H24" s="179"/>
      <c r="I24" s="179">
        <f>IF(Sources!$D$10&gt;0,J24+Q24+X24+AE24,IF(Sources!$D$11&gt;0,H24,0))</f>
        <v>0</v>
      </c>
      <c r="J24" s="206">
        <v>0</v>
      </c>
      <c r="K24" s="206">
        <v>0</v>
      </c>
      <c r="L24" s="207">
        <f>E24+K24</f>
        <v>0</v>
      </c>
      <c r="M24" s="1208">
        <f>IF($C$7=Max_Limits!$A$8,(Max_Limits!#REF!+Max_Limits!#REF!)/2/12*0.3*K$8,IF($C$7=Max_Limits!$A$9,(Max_Limits!$B$9+Max_Limits!$C$9)/2/12*0.3*K$8,IF('Units&amp;Income'!$C$7=Max_Limits!$A$10,(Max_Limits!$B$10+Max_Limits!$C$10)/2/12*0.3*K$8,IF('Units&amp;Income'!$C$7=Max_Limits!$A$11,(Max_Limits!$B$11+Max_Limits!$C$11)/2/12*0.3*K$8,IF('Units&amp;Income'!$C$7=Max_Limits!$A$12,(Max_Limits!$B$12+Max_Limits!$C$12)/2/12*0.3*K$8,IF('Units&amp;Income'!$C$7=Max_Limits!$A$13,(Max_Limits!$B$13+Max_Limits!$C$13)/2/12*0.3*K$8,IF($C$7=Max_Limits!$A$14,(Max_Limits!$B$14+Max_Limits!$C$14)/2/12*0.3*'Units&amp;Income'!K$8,IF('Units&amp;Income'!$C$7=Max_Limits!$A$15,(Max_Limits!$B$8+Max_Limits!$C$8)/2/12*0.3*'Units&amp;Income'!K$8,0))))))))</f>
        <v>0</v>
      </c>
      <c r="N24" s="208" t="e">
        <f>IF($C$7=Max_Limits!#REF!,Max_Limits!#REF!,IF($C$7=Max_Limits!#REF!,Max_Limits!#REF!,IF($C$7=Max_Limits!#REF!,Max_Limits!#REF!,IF($C$7=Max_Limits!#REF!,Max_Limits!#REF!,IF(D19=Max_Limits!#REF!,Max_Limits!#REF!,IF($C$7=Max_Limits!#REF!,Max_Limits!#REF!,IF($C$7=Max_Limits!#REF!,Max_Limits!#REF!, IF(D19=Max_Limits!#REF!,Max_Limits!#REF!,0))))))))</f>
        <v>#REF!</v>
      </c>
      <c r="O24" s="209">
        <f>IF(SUM($F$1:$F$2)=1,M24,IF(SUM($F$1:$F$2)=2,BF24, IF(SUM($F$1:$F$2)=3,N24,"None")))</f>
        <v>0</v>
      </c>
      <c r="P24" s="209">
        <f t="shared" ref="P24:P36" si="27">IF(O24="None",0,IF(K24&gt;0,O24-L24,0))</f>
        <v>0</v>
      </c>
      <c r="Q24" s="198">
        <v>0</v>
      </c>
      <c r="R24" s="198">
        <v>450</v>
      </c>
      <c r="S24" s="199">
        <f t="shared" ref="S24:S36" si="28">$E24+R24</f>
        <v>450</v>
      </c>
      <c r="T24" s="200">
        <f>IF($C$7=Max_Limits!$A$8,(Max_Limits!#REF!+Max_Limits!#REF!)/2/12*0.3*R$8,IF($C$7=Max_Limits!$A$9,(Max_Limits!$B$9+Max_Limits!$C$9)/2/12*0.3*R$8,IF('Units&amp;Income'!$C$7=Max_Limits!$A$10,(Max_Limits!$B$10+Max_Limits!$C$10)/2/12*0.3*R$8,IF('Units&amp;Income'!$C$7=Max_Limits!$A$11,(Max_Limits!$B$11+Max_Limits!$C$11)/2/12*0.3*R$8,IF('Units&amp;Income'!$C$7=Max_Limits!$A$12,(Max_Limits!$B$12+Max_Limits!$C$12)/2/12*0.3*R$8,IF('Units&amp;Income'!$C$7=Max_Limits!$A$13,(Max_Limits!$B$13+Max_Limits!$C$13)/2/12*0.3*R$8,IF($C$7=Max_Limits!$A$14,(Max_Limits!$B$14+Max_Limits!$C$14)/2/12*0.3*'Units&amp;Income'!R$8,IF('Units&amp;Income'!$C$7=Max_Limits!$A$15,(Max_Limits!$B$8+Max_Limits!$C$8)/2/12*0.3*'Units&amp;Income'!R$8,0))))))))</f>
        <v>0</v>
      </c>
      <c r="U24" s="200" t="e">
        <f>N24</f>
        <v>#REF!</v>
      </c>
      <c r="V24" s="201">
        <f>IF(SUM($F$1:$F$2)=1,T24,IF(SUM($F$1:$F$2)=2,BG24, IF(SUM($F$1:$F$2)=3,U24,"None")))</f>
        <v>0</v>
      </c>
      <c r="W24" s="184">
        <f>IF(V24="None",0,IF(R24&gt;0,V24-S24,0))</f>
        <v>-450</v>
      </c>
      <c r="X24" s="202">
        <v>0</v>
      </c>
      <c r="Y24" s="202">
        <v>0</v>
      </c>
      <c r="Z24" s="203">
        <f t="shared" ref="Z24:Z36" si="29">$E24+Y24</f>
        <v>0</v>
      </c>
      <c r="AA24" s="204">
        <f>IF($C$7=Max_Limits!$A$8,(Max_Limits!#REF!+Max_Limits!#REF!)/2/12*0.3*Y$8,IF($C$7=Max_Limits!$A$9,(Max_Limits!$B$9+Max_Limits!$C$9)/2/12*0.3*Y$8,IF('Units&amp;Income'!$C$7=Max_Limits!$A$10,(Max_Limits!$B$10+Max_Limits!$C$10)/2/12*0.3*Y$8,IF('Units&amp;Income'!$C$7=Max_Limits!$A$11,(Max_Limits!$B$11+Max_Limits!$C$11)/2/12*0.3*Y$8,IF('Units&amp;Income'!$C$7=Max_Limits!$A$12,(Max_Limits!$B$12+Max_Limits!$C$12)/2/12*0.3*Y$8,IF('Units&amp;Income'!$C$7=Max_Limits!$A$13,(Max_Limits!$B$13+Max_Limits!$C$13)/2/12*0.3*Y$8,IF($C$7=Max_Limits!$A$14,(Max_Limits!$B$14+Max_Limits!$C$14)/2/12*0.3*'Units&amp;Income'!Y$8,IF('Units&amp;Income'!$C$7=Max_Limits!$A$15,(Max_Limits!$B$8+Max_Limits!$C$8)/2/12*0.3*'Units&amp;Income'!Y$8,0))))))))</f>
        <v>0</v>
      </c>
      <c r="AB24" s="204" t="e">
        <f>U24</f>
        <v>#REF!</v>
      </c>
      <c r="AC24" s="205">
        <f>IF(SUM($F$1:$F$2)=1,AA24,IF(SUM($F$1:$F$2)=2,BH24, IF(SUM($F$1:$F$2)=3,AB24,"None")))</f>
        <v>0</v>
      </c>
      <c r="AD24" s="188">
        <f>IF(AC24="None",0,IF(Y24&gt;0,AC24-Z24,0))</f>
        <v>0</v>
      </c>
      <c r="AE24" s="206">
        <v>0</v>
      </c>
      <c r="AF24" s="206">
        <v>0</v>
      </c>
      <c r="AG24" s="207">
        <f t="shared" ref="AG24:AG36" si="30">$E24+AF24</f>
        <v>0</v>
      </c>
      <c r="AH24" s="208">
        <f>IF($C$7=Max_Limits!$A$8,(Max_Limits!#REF!+Max_Limits!#REF!)/2/12*0.3*AF$8,IF($C$7=Max_Limits!$A$9,(Max_Limits!$B$9+Max_Limits!$C$9)/2/12*0.3*AF$8,IF('Units&amp;Income'!$C$7=Max_Limits!$A$10,(Max_Limits!$B$10+Max_Limits!$C$10)/2/12*0.3*AF$8,IF('Units&amp;Income'!$C$7=Max_Limits!$A$11,(Max_Limits!$B$11+Max_Limits!$C$11)/2/12*0.3*AF$8,IF('Units&amp;Income'!$C$7=Max_Limits!$A$12,(Max_Limits!$B$12+Max_Limits!$C$12)/2/12*0.3*AF$8,IF('Units&amp;Income'!$C$7=Max_Limits!$A$13,(Max_Limits!$B$13+Max_Limits!$C$13)/2/12*0.3*AF$8,IF($C$7=Max_Limits!$A$14,(Max_Limits!$B$14+Max_Limits!$C$14)/2/12*0.3*'Units&amp;Income'!AF$8,IF('Units&amp;Income'!$C$7=Max_Limits!$A$15,(Max_Limits!$B$8+Max_Limits!$C$8)/2/12*0.3*'Units&amp;Income'!AF$8,0))))))))</f>
        <v>0</v>
      </c>
      <c r="AI24" s="208" t="e">
        <f>AB24</f>
        <v>#REF!</v>
      </c>
      <c r="AJ24" s="209">
        <f>IF(SUM($F$1:$F$2)=1,AH24,IF(SUM($F$1:$F$2)=2,BI24, IF(SUM($F$1:$F$2)=3,AI24,"None")))</f>
        <v>0</v>
      </c>
      <c r="AK24" s="192">
        <f>IF(AJ24="None",0,IF(AF24&gt;0,AJ24-AG24,0))</f>
        <v>0</v>
      </c>
      <c r="AL24" s="198">
        <v>0</v>
      </c>
      <c r="AM24" s="198">
        <v>0</v>
      </c>
      <c r="AN24" s="199">
        <f t="shared" ref="AN24:AN36" si="31">$E24+AM24</f>
        <v>0</v>
      </c>
      <c r="AO24" s="200">
        <f>IF($C$7=Max_Limits!$A$8,(Max_Limits!#REF!+Max_Limits!#REF!)/2/12*0.3*AM$8,IF($C$7=Max_Limits!$A$9,(Max_Limits!$B$9+Max_Limits!$C$9)/2/12*0.3*AM$8,IF('Units&amp;Income'!$C$7=Max_Limits!$A$10,(Max_Limits!$B$10+Max_Limits!$C$10)/2/12*0.3*AM$8,IF('Units&amp;Income'!$C$7=Max_Limits!$A$11,(Max_Limits!$B$11+Max_Limits!$C$11)/2/12*0.3*AM$8,IF('Units&amp;Income'!$C$7=Max_Limits!$A$12,(Max_Limits!$B$12+Max_Limits!$C$12)/2/12*0.3*AM$8,IF('Units&amp;Income'!$C$7=Max_Limits!$A$13,(Max_Limits!$B$13+Max_Limits!$C$13)/2/12*0.3*AM$8,IF($C$7=Max_Limits!$A$14,(Max_Limits!$B$14+Max_Limits!$C$14)/2/12*0.3*'Units&amp;Income'!AM$8,IF('Units&amp;Income'!$C$7=Max_Limits!$A$15,(Max_Limits!$B$8+Max_Limits!$C$8)/2/12*0.3*'Units&amp;Income'!AM$8,0))))))))</f>
        <v>0</v>
      </c>
      <c r="AP24" s="200" t="e">
        <f>AI24</f>
        <v>#REF!</v>
      </c>
      <c r="AQ24" s="201">
        <f>IF(SUM($F$1:$F$2)=1,AO24,IF(SUM($F$1:$F$2)=2,BJ24, IF(SUM($F$1:$F$2)=3,AP24,"None")))</f>
        <v>0</v>
      </c>
      <c r="AR24" s="183">
        <f>IF(AQ24="None",0,IF(AM24&gt;0,AQ24-AN24,0))</f>
        <v>0</v>
      </c>
      <c r="AS24" s="202">
        <v>0</v>
      </c>
      <c r="AT24" s="202">
        <v>0</v>
      </c>
      <c r="AU24" s="203">
        <f t="shared" ref="AU24:AU36" si="32">$E24+AT24</f>
        <v>0</v>
      </c>
      <c r="AV24" s="1202">
        <f t="shared" si="18"/>
        <v>0</v>
      </c>
      <c r="AW24" s="210">
        <f t="shared" ref="AW24:AW36" si="33">J24*K24+Q24*R24+X24*Y24+AE24*AF24+AS24*AT24</f>
        <v>0</v>
      </c>
      <c r="AX24" s="196" t="str">
        <f t="shared" si="7"/>
        <v/>
      </c>
      <c r="BB24" s="98">
        <f t="shared" ref="BB24:BB36" si="34">G24*C24</f>
        <v>0</v>
      </c>
      <c r="BC24" s="968">
        <f t="shared" si="19"/>
        <v>0</v>
      </c>
      <c r="BF24" s="112" t="e">
        <f>IF(M24&gt;N24,N24,M24)</f>
        <v>#REF!</v>
      </c>
      <c r="BG24" s="117" t="e">
        <f t="shared" ref="BG24:BG36" si="35">IF(T24&gt;U24,U24,T24)</f>
        <v>#REF!</v>
      </c>
      <c r="BH24" s="112" t="e">
        <f t="shared" ref="BH24:BH36" si="36">IF(AA24&gt;AB24,AB24,AA24)</f>
        <v>#REF!</v>
      </c>
      <c r="BI24" s="117" t="e">
        <f t="shared" ref="BI24:BI36" si="37">IF(AH24&gt;AI24,AI24,AH24)</f>
        <v>#REF!</v>
      </c>
      <c r="BJ24" s="98" t="e">
        <f>IF(AO24&gt;AP24,AP24,AO24)</f>
        <v>#REF!</v>
      </c>
    </row>
    <row r="25" spans="1:62">
      <c r="A25" s="175">
        <v>1</v>
      </c>
      <c r="B25" s="195" t="s">
        <v>459</v>
      </c>
      <c r="C25" s="1203">
        <v>700</v>
      </c>
      <c r="D25" s="1204">
        <v>1</v>
      </c>
      <c r="E25" s="196">
        <f t="shared" ref="E25:E36" si="38">E24</f>
        <v>0</v>
      </c>
      <c r="F25" s="197">
        <v>0</v>
      </c>
      <c r="G25" s="179">
        <f>IF(Setup!$L$8="No",0,J25+Q25+X25+AE25)+IF(Setup!$R$21="No",0,'Units&amp;Income'!AL25)</f>
        <v>0</v>
      </c>
      <c r="H25" s="179"/>
      <c r="I25" s="179">
        <f>IF(Sources!$D$10&gt;0,J25+Q25+X25+AE25,IF(Sources!$D$11&gt;0,H25,0))</f>
        <v>0</v>
      </c>
      <c r="J25" s="206">
        <v>0</v>
      </c>
      <c r="K25" s="206">
        <v>0</v>
      </c>
      <c r="L25" s="207">
        <f t="shared" ref="L25:L36" si="39">E25+K25</f>
        <v>0</v>
      </c>
      <c r="M25" s="208">
        <f>M24</f>
        <v>0</v>
      </c>
      <c r="N25" s="208" t="e">
        <f>N24</f>
        <v>#REF!</v>
      </c>
      <c r="O25" s="209">
        <f>O24</f>
        <v>0</v>
      </c>
      <c r="P25" s="209">
        <f t="shared" si="27"/>
        <v>0</v>
      </c>
      <c r="Q25" s="198">
        <v>0</v>
      </c>
      <c r="R25" s="198">
        <v>500</v>
      </c>
      <c r="S25" s="199">
        <f t="shared" si="28"/>
        <v>500</v>
      </c>
      <c r="T25" s="200">
        <f>T24</f>
        <v>0</v>
      </c>
      <c r="U25" s="200" t="e">
        <f>U24</f>
        <v>#REF!</v>
      </c>
      <c r="V25" s="201">
        <f>V24</f>
        <v>0</v>
      </c>
      <c r="W25" s="184">
        <f t="shared" ref="W25:W36" si="40">IF(V25="None",0,IF(R25&gt;0,V25-S25,0))</f>
        <v>-500</v>
      </c>
      <c r="X25" s="202">
        <v>0</v>
      </c>
      <c r="Y25" s="202">
        <v>0</v>
      </c>
      <c r="Z25" s="203">
        <f t="shared" si="29"/>
        <v>0</v>
      </c>
      <c r="AA25" s="204">
        <f>AA24</f>
        <v>0</v>
      </c>
      <c r="AB25" s="204" t="e">
        <f>AB24</f>
        <v>#REF!</v>
      </c>
      <c r="AC25" s="205">
        <f>AC24</f>
        <v>0</v>
      </c>
      <c r="AD25" s="188">
        <f t="shared" ref="AD25:AD36" si="41">IF(AC25="None",0,IF(Y25&gt;0,AC25-Z25,0))</f>
        <v>0</v>
      </c>
      <c r="AE25" s="206">
        <v>0</v>
      </c>
      <c r="AF25" s="206">
        <v>0</v>
      </c>
      <c r="AG25" s="207">
        <f t="shared" si="30"/>
        <v>0</v>
      </c>
      <c r="AH25" s="208">
        <f>AH24</f>
        <v>0</v>
      </c>
      <c r="AI25" s="208" t="e">
        <f>AI24</f>
        <v>#REF!</v>
      </c>
      <c r="AJ25" s="209">
        <f>AJ24</f>
        <v>0</v>
      </c>
      <c r="AK25" s="192">
        <f t="shared" ref="AK25:AK36" si="42">IF(AJ25="None",0,IF(AF25&gt;0,AJ25-AG25,0))</f>
        <v>0</v>
      </c>
      <c r="AL25" s="198">
        <v>0</v>
      </c>
      <c r="AM25" s="198">
        <v>0</v>
      </c>
      <c r="AN25" s="199">
        <f t="shared" si="31"/>
        <v>0</v>
      </c>
      <c r="AO25" s="200">
        <f>AO24</f>
        <v>0</v>
      </c>
      <c r="AP25" s="200" t="e">
        <f>AP24</f>
        <v>#REF!</v>
      </c>
      <c r="AQ25" s="201">
        <f>AQ24</f>
        <v>0</v>
      </c>
      <c r="AR25" s="183">
        <f t="shared" ref="AR25:AR36" si="43">IF(AQ25="None",0,IF(AM25&gt;0,AQ25-AN25,0))</f>
        <v>0</v>
      </c>
      <c r="AS25" s="202">
        <v>0</v>
      </c>
      <c r="AT25" s="202">
        <v>0</v>
      </c>
      <c r="AU25" s="203">
        <f t="shared" si="32"/>
        <v>0</v>
      </c>
      <c r="AV25" s="1202">
        <f t="shared" si="18"/>
        <v>0</v>
      </c>
      <c r="AW25" s="210">
        <f t="shared" si="33"/>
        <v>0</v>
      </c>
      <c r="AX25" s="196" t="str">
        <f t="shared" si="7"/>
        <v/>
      </c>
      <c r="BB25" s="98">
        <f t="shared" si="34"/>
        <v>0</v>
      </c>
      <c r="BC25" s="968">
        <f t="shared" si="19"/>
        <v>0</v>
      </c>
      <c r="BF25" s="112" t="e">
        <f t="shared" ref="BF25:BF36" si="44">IF(M25&gt;N25,N25,M25)</f>
        <v>#REF!</v>
      </c>
      <c r="BG25" s="117" t="e">
        <f t="shared" si="35"/>
        <v>#REF!</v>
      </c>
      <c r="BH25" s="112" t="e">
        <f t="shared" si="36"/>
        <v>#REF!</v>
      </c>
      <c r="BI25" s="117" t="e">
        <f t="shared" si="37"/>
        <v>#REF!</v>
      </c>
      <c r="BJ25" s="98" t="e">
        <f t="shared" ref="BJ25:BJ36" si="45">IF(AO25&gt;AP25,AP25,AO25)</f>
        <v>#REF!</v>
      </c>
    </row>
    <row r="26" spans="1:62">
      <c r="A26" s="175">
        <v>1</v>
      </c>
      <c r="B26" s="195" t="s">
        <v>460</v>
      </c>
      <c r="C26" s="1203">
        <v>700</v>
      </c>
      <c r="D26" s="1204">
        <v>1</v>
      </c>
      <c r="E26" s="196">
        <f t="shared" si="38"/>
        <v>0</v>
      </c>
      <c r="F26" s="197">
        <v>0</v>
      </c>
      <c r="G26" s="179">
        <f>IF(Setup!$L$8="No",0,J26+Q26+X26+AE26)+IF(Setup!$R$21="No",0,'Units&amp;Income'!AL26)</f>
        <v>0</v>
      </c>
      <c r="H26" s="179"/>
      <c r="I26" s="179">
        <f>IF(Sources!$D$10&gt;0,J26+Q26+X26+AE26,IF(Sources!$D$11&gt;0,H26,0))</f>
        <v>0</v>
      </c>
      <c r="J26" s="206">
        <v>0</v>
      </c>
      <c r="K26" s="206">
        <v>0</v>
      </c>
      <c r="L26" s="207">
        <f t="shared" si="39"/>
        <v>0</v>
      </c>
      <c r="M26" s="208">
        <f t="shared" ref="M26:O36" si="46">M25</f>
        <v>0</v>
      </c>
      <c r="N26" s="208" t="e">
        <f t="shared" si="46"/>
        <v>#REF!</v>
      </c>
      <c r="O26" s="209">
        <f t="shared" si="46"/>
        <v>0</v>
      </c>
      <c r="P26" s="209">
        <f t="shared" si="27"/>
        <v>0</v>
      </c>
      <c r="Q26" s="198">
        <v>0</v>
      </c>
      <c r="R26" s="198">
        <v>0</v>
      </c>
      <c r="S26" s="199">
        <f t="shared" si="28"/>
        <v>0</v>
      </c>
      <c r="T26" s="200">
        <f t="shared" ref="T26:V36" si="47">T25</f>
        <v>0</v>
      </c>
      <c r="U26" s="200" t="e">
        <f t="shared" si="47"/>
        <v>#REF!</v>
      </c>
      <c r="V26" s="201">
        <f t="shared" si="47"/>
        <v>0</v>
      </c>
      <c r="W26" s="184">
        <f t="shared" si="40"/>
        <v>0</v>
      </c>
      <c r="X26" s="202">
        <v>0</v>
      </c>
      <c r="Y26" s="202">
        <v>0</v>
      </c>
      <c r="Z26" s="203">
        <f t="shared" si="29"/>
        <v>0</v>
      </c>
      <c r="AA26" s="204">
        <f t="shared" ref="AA26:AC36" si="48">AA25</f>
        <v>0</v>
      </c>
      <c r="AB26" s="204" t="e">
        <f t="shared" si="48"/>
        <v>#REF!</v>
      </c>
      <c r="AC26" s="205">
        <f t="shared" si="48"/>
        <v>0</v>
      </c>
      <c r="AD26" s="188">
        <f t="shared" si="41"/>
        <v>0</v>
      </c>
      <c r="AE26" s="206">
        <v>0</v>
      </c>
      <c r="AF26" s="206">
        <v>0</v>
      </c>
      <c r="AG26" s="207">
        <f t="shared" si="30"/>
        <v>0</v>
      </c>
      <c r="AH26" s="208">
        <f t="shared" ref="AH26:AJ36" si="49">AH25</f>
        <v>0</v>
      </c>
      <c r="AI26" s="208" t="e">
        <f t="shared" si="49"/>
        <v>#REF!</v>
      </c>
      <c r="AJ26" s="209">
        <f t="shared" si="49"/>
        <v>0</v>
      </c>
      <c r="AK26" s="192">
        <f t="shared" si="42"/>
        <v>0</v>
      </c>
      <c r="AL26" s="198">
        <v>0</v>
      </c>
      <c r="AM26" s="198">
        <v>0</v>
      </c>
      <c r="AN26" s="199">
        <f t="shared" si="31"/>
        <v>0</v>
      </c>
      <c r="AO26" s="200">
        <f t="shared" ref="AO26:AQ36" si="50">AO25</f>
        <v>0</v>
      </c>
      <c r="AP26" s="200" t="e">
        <f t="shared" si="50"/>
        <v>#REF!</v>
      </c>
      <c r="AQ26" s="201">
        <f t="shared" si="50"/>
        <v>0</v>
      </c>
      <c r="AR26" s="183">
        <f t="shared" si="43"/>
        <v>0</v>
      </c>
      <c r="AS26" s="202">
        <v>0</v>
      </c>
      <c r="AT26" s="202">
        <v>0</v>
      </c>
      <c r="AU26" s="203">
        <f t="shared" si="32"/>
        <v>0</v>
      </c>
      <c r="AV26" s="1202">
        <f t="shared" si="18"/>
        <v>0</v>
      </c>
      <c r="AW26" s="210">
        <f t="shared" si="33"/>
        <v>0</v>
      </c>
      <c r="AX26" s="196" t="str">
        <f t="shared" si="7"/>
        <v/>
      </c>
      <c r="BB26" s="98">
        <f t="shared" si="34"/>
        <v>0</v>
      </c>
      <c r="BC26" s="968">
        <f t="shared" si="19"/>
        <v>0</v>
      </c>
      <c r="BF26" s="112" t="e">
        <f t="shared" si="44"/>
        <v>#REF!</v>
      </c>
      <c r="BG26" s="117" t="e">
        <f t="shared" si="35"/>
        <v>#REF!</v>
      </c>
      <c r="BH26" s="112" t="e">
        <f t="shared" si="36"/>
        <v>#REF!</v>
      </c>
      <c r="BI26" s="117" t="e">
        <f t="shared" si="37"/>
        <v>#REF!</v>
      </c>
      <c r="BJ26" s="98" t="e">
        <f t="shared" si="45"/>
        <v>#REF!</v>
      </c>
    </row>
    <row r="27" spans="1:62">
      <c r="A27" s="175">
        <v>1</v>
      </c>
      <c r="B27" s="195" t="s">
        <v>461</v>
      </c>
      <c r="C27" s="1203">
        <v>700</v>
      </c>
      <c r="D27" s="1204">
        <v>1</v>
      </c>
      <c r="E27" s="196">
        <f t="shared" si="38"/>
        <v>0</v>
      </c>
      <c r="F27" s="197">
        <v>0</v>
      </c>
      <c r="G27" s="179">
        <f>IF(Setup!$L$8="No",0,J27+Q27+X27+AE27)+IF(Setup!$R$21="No",0,'Units&amp;Income'!AL27)</f>
        <v>0</v>
      </c>
      <c r="H27" s="179"/>
      <c r="I27" s="179">
        <f>IF(Sources!$D$10&gt;0,J27+Q27+X27+AE27,IF(Sources!$D$11&gt;0,H27,0))</f>
        <v>0</v>
      </c>
      <c r="J27" s="206">
        <v>0</v>
      </c>
      <c r="K27" s="206">
        <v>0</v>
      </c>
      <c r="L27" s="207">
        <f t="shared" si="39"/>
        <v>0</v>
      </c>
      <c r="M27" s="208">
        <f t="shared" si="46"/>
        <v>0</v>
      </c>
      <c r="N27" s="208" t="e">
        <f t="shared" si="46"/>
        <v>#REF!</v>
      </c>
      <c r="O27" s="209">
        <f t="shared" si="46"/>
        <v>0</v>
      </c>
      <c r="P27" s="209">
        <f t="shared" si="27"/>
        <v>0</v>
      </c>
      <c r="Q27" s="198">
        <v>0</v>
      </c>
      <c r="R27" s="198">
        <v>0</v>
      </c>
      <c r="S27" s="199">
        <f t="shared" si="28"/>
        <v>0</v>
      </c>
      <c r="T27" s="200">
        <f t="shared" si="47"/>
        <v>0</v>
      </c>
      <c r="U27" s="200" t="e">
        <f t="shared" si="47"/>
        <v>#REF!</v>
      </c>
      <c r="V27" s="201">
        <f t="shared" si="47"/>
        <v>0</v>
      </c>
      <c r="W27" s="184">
        <f t="shared" si="40"/>
        <v>0</v>
      </c>
      <c r="X27" s="202">
        <v>0</v>
      </c>
      <c r="Y27" s="202">
        <v>0</v>
      </c>
      <c r="Z27" s="203">
        <f t="shared" si="29"/>
        <v>0</v>
      </c>
      <c r="AA27" s="204">
        <f t="shared" si="48"/>
        <v>0</v>
      </c>
      <c r="AB27" s="204" t="e">
        <f t="shared" si="48"/>
        <v>#REF!</v>
      </c>
      <c r="AC27" s="205">
        <f t="shared" si="48"/>
        <v>0</v>
      </c>
      <c r="AD27" s="188">
        <f t="shared" si="41"/>
        <v>0</v>
      </c>
      <c r="AE27" s="206">
        <v>0</v>
      </c>
      <c r="AF27" s="206">
        <v>0</v>
      </c>
      <c r="AG27" s="207">
        <f t="shared" si="30"/>
        <v>0</v>
      </c>
      <c r="AH27" s="208">
        <f t="shared" si="49"/>
        <v>0</v>
      </c>
      <c r="AI27" s="208" t="e">
        <f t="shared" si="49"/>
        <v>#REF!</v>
      </c>
      <c r="AJ27" s="209">
        <f t="shared" si="49"/>
        <v>0</v>
      </c>
      <c r="AK27" s="192">
        <f t="shared" si="42"/>
        <v>0</v>
      </c>
      <c r="AL27" s="198">
        <v>0</v>
      </c>
      <c r="AM27" s="198">
        <v>0</v>
      </c>
      <c r="AN27" s="199">
        <f t="shared" si="31"/>
        <v>0</v>
      </c>
      <c r="AO27" s="200">
        <f t="shared" si="50"/>
        <v>0</v>
      </c>
      <c r="AP27" s="200" t="e">
        <f t="shared" si="50"/>
        <v>#REF!</v>
      </c>
      <c r="AQ27" s="201">
        <f t="shared" si="50"/>
        <v>0</v>
      </c>
      <c r="AR27" s="183">
        <f t="shared" si="43"/>
        <v>0</v>
      </c>
      <c r="AS27" s="202">
        <v>0</v>
      </c>
      <c r="AT27" s="202">
        <v>0</v>
      </c>
      <c r="AU27" s="203">
        <f t="shared" si="32"/>
        <v>0</v>
      </c>
      <c r="AV27" s="1202">
        <f t="shared" si="18"/>
        <v>0</v>
      </c>
      <c r="AW27" s="210">
        <f t="shared" si="33"/>
        <v>0</v>
      </c>
      <c r="AX27" s="196" t="str">
        <f t="shared" si="7"/>
        <v/>
      </c>
      <c r="BB27" s="98">
        <f t="shared" si="34"/>
        <v>0</v>
      </c>
      <c r="BC27" s="968">
        <f t="shared" si="19"/>
        <v>0</v>
      </c>
      <c r="BF27" s="112" t="e">
        <f t="shared" si="44"/>
        <v>#REF!</v>
      </c>
      <c r="BG27" s="117" t="e">
        <f t="shared" si="35"/>
        <v>#REF!</v>
      </c>
      <c r="BH27" s="112" t="e">
        <f t="shared" si="36"/>
        <v>#REF!</v>
      </c>
      <c r="BI27" s="117" t="e">
        <f t="shared" si="37"/>
        <v>#REF!</v>
      </c>
      <c r="BJ27" s="98" t="e">
        <f t="shared" si="45"/>
        <v>#REF!</v>
      </c>
    </row>
    <row r="28" spans="1:62">
      <c r="A28" s="175">
        <v>1</v>
      </c>
      <c r="B28" s="195" t="s">
        <v>462</v>
      </c>
      <c r="C28" s="1203">
        <v>700</v>
      </c>
      <c r="D28" s="1204">
        <v>1</v>
      </c>
      <c r="E28" s="196">
        <f t="shared" si="38"/>
        <v>0</v>
      </c>
      <c r="F28" s="197">
        <v>0</v>
      </c>
      <c r="G28" s="179">
        <f>IF(Setup!$L$8="No",0,J28+Q28+X28+AE28)</f>
        <v>0</v>
      </c>
      <c r="H28" s="179"/>
      <c r="I28" s="179">
        <f>IF(Sources!$D$10&gt;0,J28+Q28+X28+AE28,IF(Sources!$D$11&gt;0,H28,0))</f>
        <v>0</v>
      </c>
      <c r="J28" s="206">
        <v>0</v>
      </c>
      <c r="K28" s="206">
        <v>0</v>
      </c>
      <c r="L28" s="207">
        <f t="shared" si="39"/>
        <v>0</v>
      </c>
      <c r="M28" s="208">
        <f t="shared" si="46"/>
        <v>0</v>
      </c>
      <c r="N28" s="208" t="e">
        <f t="shared" si="46"/>
        <v>#REF!</v>
      </c>
      <c r="O28" s="209">
        <f t="shared" si="46"/>
        <v>0</v>
      </c>
      <c r="P28" s="209">
        <f t="shared" si="27"/>
        <v>0</v>
      </c>
      <c r="Q28" s="198">
        <v>0</v>
      </c>
      <c r="R28" s="198">
        <v>0</v>
      </c>
      <c r="S28" s="199">
        <f t="shared" si="28"/>
        <v>0</v>
      </c>
      <c r="T28" s="200">
        <f t="shared" si="47"/>
        <v>0</v>
      </c>
      <c r="U28" s="200" t="e">
        <f t="shared" si="47"/>
        <v>#REF!</v>
      </c>
      <c r="V28" s="201">
        <f t="shared" si="47"/>
        <v>0</v>
      </c>
      <c r="W28" s="184">
        <f t="shared" si="40"/>
        <v>0</v>
      </c>
      <c r="X28" s="202">
        <v>0</v>
      </c>
      <c r="Y28" s="202">
        <v>0</v>
      </c>
      <c r="Z28" s="203">
        <f t="shared" si="29"/>
        <v>0</v>
      </c>
      <c r="AA28" s="204">
        <f t="shared" si="48"/>
        <v>0</v>
      </c>
      <c r="AB28" s="204" t="e">
        <f t="shared" si="48"/>
        <v>#REF!</v>
      </c>
      <c r="AC28" s="205">
        <f t="shared" si="48"/>
        <v>0</v>
      </c>
      <c r="AD28" s="188">
        <f t="shared" si="41"/>
        <v>0</v>
      </c>
      <c r="AE28" s="206">
        <v>0</v>
      </c>
      <c r="AF28" s="206">
        <v>0</v>
      </c>
      <c r="AG28" s="207">
        <f t="shared" si="30"/>
        <v>0</v>
      </c>
      <c r="AH28" s="208">
        <f t="shared" si="49"/>
        <v>0</v>
      </c>
      <c r="AI28" s="208" t="e">
        <f t="shared" si="49"/>
        <v>#REF!</v>
      </c>
      <c r="AJ28" s="209">
        <f t="shared" si="49"/>
        <v>0</v>
      </c>
      <c r="AK28" s="192">
        <f t="shared" si="42"/>
        <v>0</v>
      </c>
      <c r="AL28" s="198">
        <v>0</v>
      </c>
      <c r="AM28" s="198">
        <v>0</v>
      </c>
      <c r="AN28" s="199">
        <f t="shared" si="31"/>
        <v>0</v>
      </c>
      <c r="AO28" s="200">
        <f t="shared" si="50"/>
        <v>0</v>
      </c>
      <c r="AP28" s="200" t="e">
        <f t="shared" si="50"/>
        <v>#REF!</v>
      </c>
      <c r="AQ28" s="201">
        <f t="shared" si="50"/>
        <v>0</v>
      </c>
      <c r="AR28" s="183">
        <f t="shared" si="43"/>
        <v>0</v>
      </c>
      <c r="AS28" s="202">
        <v>0</v>
      </c>
      <c r="AT28" s="202">
        <v>0</v>
      </c>
      <c r="AU28" s="203">
        <f t="shared" si="32"/>
        <v>0</v>
      </c>
      <c r="AV28" s="1202">
        <f t="shared" si="18"/>
        <v>0</v>
      </c>
      <c r="AW28" s="210">
        <f t="shared" si="33"/>
        <v>0</v>
      </c>
      <c r="AX28" s="196" t="str">
        <f t="shared" si="7"/>
        <v/>
      </c>
      <c r="AZ28" s="96" t="s">
        <v>180</v>
      </c>
      <c r="BB28" s="98">
        <f t="shared" si="34"/>
        <v>0</v>
      </c>
      <c r="BC28" s="968">
        <f t="shared" si="19"/>
        <v>0</v>
      </c>
      <c r="BF28" s="112" t="e">
        <f t="shared" si="44"/>
        <v>#REF!</v>
      </c>
      <c r="BG28" s="117" t="e">
        <f t="shared" si="35"/>
        <v>#REF!</v>
      </c>
      <c r="BH28" s="112" t="e">
        <f t="shared" si="36"/>
        <v>#REF!</v>
      </c>
      <c r="BI28" s="117" t="e">
        <f t="shared" si="37"/>
        <v>#REF!</v>
      </c>
      <c r="BJ28" s="98" t="e">
        <f t="shared" si="45"/>
        <v>#REF!</v>
      </c>
    </row>
    <row r="29" spans="1:62">
      <c r="A29" s="175">
        <v>1</v>
      </c>
      <c r="B29" s="195" t="s">
        <v>463</v>
      </c>
      <c r="C29" s="1203">
        <v>700</v>
      </c>
      <c r="D29" s="1204">
        <v>1</v>
      </c>
      <c r="E29" s="196">
        <f t="shared" si="38"/>
        <v>0</v>
      </c>
      <c r="F29" s="197">
        <v>0</v>
      </c>
      <c r="G29" s="179">
        <f>IF(Setup!$L$8="No",0,J29+Q29+X29+AE29)</f>
        <v>0</v>
      </c>
      <c r="H29" s="179"/>
      <c r="I29" s="179">
        <f>IF(Sources!$D$10&gt;0,J29+Q29+X29+AE29,IF(Sources!$D$11&gt;0,H29,0))</f>
        <v>0</v>
      </c>
      <c r="J29" s="206">
        <v>0</v>
      </c>
      <c r="K29" s="206">
        <v>0</v>
      </c>
      <c r="L29" s="207">
        <f t="shared" si="39"/>
        <v>0</v>
      </c>
      <c r="M29" s="208">
        <f t="shared" si="46"/>
        <v>0</v>
      </c>
      <c r="N29" s="208" t="e">
        <f t="shared" si="46"/>
        <v>#REF!</v>
      </c>
      <c r="O29" s="209">
        <f t="shared" si="46"/>
        <v>0</v>
      </c>
      <c r="P29" s="209">
        <f t="shared" si="27"/>
        <v>0</v>
      </c>
      <c r="Q29" s="198">
        <v>0</v>
      </c>
      <c r="R29" s="198">
        <v>0</v>
      </c>
      <c r="S29" s="199">
        <f t="shared" si="28"/>
        <v>0</v>
      </c>
      <c r="T29" s="200">
        <f t="shared" si="47"/>
        <v>0</v>
      </c>
      <c r="U29" s="200" t="e">
        <f t="shared" si="47"/>
        <v>#REF!</v>
      </c>
      <c r="V29" s="201">
        <f t="shared" si="47"/>
        <v>0</v>
      </c>
      <c r="W29" s="184">
        <f t="shared" si="40"/>
        <v>0</v>
      </c>
      <c r="X29" s="202">
        <v>0</v>
      </c>
      <c r="Y29" s="202">
        <v>0</v>
      </c>
      <c r="Z29" s="203">
        <f t="shared" si="29"/>
        <v>0</v>
      </c>
      <c r="AA29" s="204">
        <f t="shared" si="48"/>
        <v>0</v>
      </c>
      <c r="AB29" s="204" t="e">
        <f t="shared" si="48"/>
        <v>#REF!</v>
      </c>
      <c r="AC29" s="205">
        <f t="shared" si="48"/>
        <v>0</v>
      </c>
      <c r="AD29" s="188">
        <f t="shared" si="41"/>
        <v>0</v>
      </c>
      <c r="AE29" s="206">
        <v>0</v>
      </c>
      <c r="AF29" s="206">
        <v>0</v>
      </c>
      <c r="AG29" s="207">
        <f t="shared" si="30"/>
        <v>0</v>
      </c>
      <c r="AH29" s="208">
        <f t="shared" si="49"/>
        <v>0</v>
      </c>
      <c r="AI29" s="208" t="e">
        <f t="shared" si="49"/>
        <v>#REF!</v>
      </c>
      <c r="AJ29" s="209">
        <f t="shared" si="49"/>
        <v>0</v>
      </c>
      <c r="AK29" s="192">
        <f t="shared" si="42"/>
        <v>0</v>
      </c>
      <c r="AL29" s="198">
        <v>0</v>
      </c>
      <c r="AM29" s="198">
        <v>0</v>
      </c>
      <c r="AN29" s="199">
        <f t="shared" si="31"/>
        <v>0</v>
      </c>
      <c r="AO29" s="200">
        <f t="shared" si="50"/>
        <v>0</v>
      </c>
      <c r="AP29" s="200" t="e">
        <f t="shared" si="50"/>
        <v>#REF!</v>
      </c>
      <c r="AQ29" s="201">
        <f t="shared" si="50"/>
        <v>0</v>
      </c>
      <c r="AR29" s="183">
        <f t="shared" si="43"/>
        <v>0</v>
      </c>
      <c r="AS29" s="202">
        <v>0</v>
      </c>
      <c r="AT29" s="202">
        <v>0</v>
      </c>
      <c r="AU29" s="203">
        <f t="shared" si="32"/>
        <v>0</v>
      </c>
      <c r="AV29" s="1202">
        <f t="shared" si="18"/>
        <v>0</v>
      </c>
      <c r="AW29" s="210">
        <f t="shared" si="33"/>
        <v>0</v>
      </c>
      <c r="AX29" s="196" t="str">
        <f t="shared" si="7"/>
        <v/>
      </c>
      <c r="BB29" s="98">
        <f t="shared" si="34"/>
        <v>0</v>
      </c>
      <c r="BC29" s="968">
        <f t="shared" si="19"/>
        <v>0</v>
      </c>
      <c r="BF29" s="112" t="e">
        <f t="shared" si="44"/>
        <v>#REF!</v>
      </c>
      <c r="BG29" s="117" t="e">
        <f t="shared" si="35"/>
        <v>#REF!</v>
      </c>
      <c r="BH29" s="112" t="e">
        <f t="shared" si="36"/>
        <v>#REF!</v>
      </c>
      <c r="BI29" s="117" t="e">
        <f t="shared" si="37"/>
        <v>#REF!</v>
      </c>
      <c r="BJ29" s="98" t="e">
        <f t="shared" si="45"/>
        <v>#REF!</v>
      </c>
    </row>
    <row r="30" spans="1:62">
      <c r="A30" s="175">
        <v>1</v>
      </c>
      <c r="B30" s="195" t="s">
        <v>464</v>
      </c>
      <c r="C30" s="1203">
        <v>700</v>
      </c>
      <c r="D30" s="1204">
        <v>1</v>
      </c>
      <c r="E30" s="196">
        <f t="shared" si="38"/>
        <v>0</v>
      </c>
      <c r="F30" s="197">
        <v>0</v>
      </c>
      <c r="G30" s="179">
        <f>IF(Setup!$L$8="No",0,J30+Q30+X30+AE30)</f>
        <v>0</v>
      </c>
      <c r="H30" s="179"/>
      <c r="I30" s="179">
        <f>IF(Sources!$D$10&gt;0,J30+Q30+X30+AE30,IF(Sources!$D$11&gt;0,H30,0))</f>
        <v>0</v>
      </c>
      <c r="J30" s="206">
        <v>0</v>
      </c>
      <c r="K30" s="206">
        <v>0</v>
      </c>
      <c r="L30" s="207">
        <f t="shared" si="39"/>
        <v>0</v>
      </c>
      <c r="M30" s="208">
        <f t="shared" si="46"/>
        <v>0</v>
      </c>
      <c r="N30" s="208" t="e">
        <f t="shared" si="46"/>
        <v>#REF!</v>
      </c>
      <c r="O30" s="209">
        <f t="shared" si="46"/>
        <v>0</v>
      </c>
      <c r="P30" s="209">
        <f t="shared" si="27"/>
        <v>0</v>
      </c>
      <c r="Q30" s="198">
        <v>0</v>
      </c>
      <c r="R30" s="198">
        <v>0</v>
      </c>
      <c r="S30" s="199">
        <f t="shared" si="28"/>
        <v>0</v>
      </c>
      <c r="T30" s="200">
        <f t="shared" si="47"/>
        <v>0</v>
      </c>
      <c r="U30" s="200" t="e">
        <f t="shared" si="47"/>
        <v>#REF!</v>
      </c>
      <c r="V30" s="201">
        <f t="shared" si="47"/>
        <v>0</v>
      </c>
      <c r="W30" s="184">
        <f t="shared" si="40"/>
        <v>0</v>
      </c>
      <c r="X30" s="202">
        <v>0</v>
      </c>
      <c r="Y30" s="202">
        <v>0</v>
      </c>
      <c r="Z30" s="203">
        <f t="shared" si="29"/>
        <v>0</v>
      </c>
      <c r="AA30" s="204">
        <f t="shared" si="48"/>
        <v>0</v>
      </c>
      <c r="AB30" s="204" t="e">
        <f t="shared" si="48"/>
        <v>#REF!</v>
      </c>
      <c r="AC30" s="205">
        <f t="shared" si="48"/>
        <v>0</v>
      </c>
      <c r="AD30" s="188">
        <f t="shared" si="41"/>
        <v>0</v>
      </c>
      <c r="AE30" s="206">
        <v>0</v>
      </c>
      <c r="AF30" s="206">
        <v>0</v>
      </c>
      <c r="AG30" s="207">
        <f t="shared" si="30"/>
        <v>0</v>
      </c>
      <c r="AH30" s="208">
        <f t="shared" si="49"/>
        <v>0</v>
      </c>
      <c r="AI30" s="208" t="e">
        <f t="shared" si="49"/>
        <v>#REF!</v>
      </c>
      <c r="AJ30" s="209">
        <f t="shared" si="49"/>
        <v>0</v>
      </c>
      <c r="AK30" s="192">
        <f t="shared" si="42"/>
        <v>0</v>
      </c>
      <c r="AL30" s="198">
        <v>0</v>
      </c>
      <c r="AM30" s="198">
        <v>0</v>
      </c>
      <c r="AN30" s="199">
        <f t="shared" si="31"/>
        <v>0</v>
      </c>
      <c r="AO30" s="200">
        <f t="shared" si="50"/>
        <v>0</v>
      </c>
      <c r="AP30" s="200" t="e">
        <f t="shared" si="50"/>
        <v>#REF!</v>
      </c>
      <c r="AQ30" s="201">
        <f t="shared" si="50"/>
        <v>0</v>
      </c>
      <c r="AR30" s="183">
        <f t="shared" si="43"/>
        <v>0</v>
      </c>
      <c r="AS30" s="202">
        <v>0</v>
      </c>
      <c r="AT30" s="202">
        <v>0</v>
      </c>
      <c r="AU30" s="203">
        <f t="shared" si="32"/>
        <v>0</v>
      </c>
      <c r="AV30" s="1202">
        <f t="shared" si="18"/>
        <v>0</v>
      </c>
      <c r="AW30" s="210">
        <f t="shared" si="33"/>
        <v>0</v>
      </c>
      <c r="AX30" s="196" t="str">
        <f t="shared" si="7"/>
        <v/>
      </c>
      <c r="BB30" s="98">
        <f t="shared" si="34"/>
        <v>0</v>
      </c>
      <c r="BC30" s="968">
        <f t="shared" si="19"/>
        <v>0</v>
      </c>
      <c r="BF30" s="112" t="e">
        <f t="shared" si="44"/>
        <v>#REF!</v>
      </c>
      <c r="BG30" s="117" t="e">
        <f t="shared" si="35"/>
        <v>#REF!</v>
      </c>
      <c r="BH30" s="112" t="e">
        <f t="shared" si="36"/>
        <v>#REF!</v>
      </c>
      <c r="BI30" s="117" t="e">
        <f t="shared" si="37"/>
        <v>#REF!</v>
      </c>
      <c r="BJ30" s="98" t="e">
        <f t="shared" si="45"/>
        <v>#REF!</v>
      </c>
    </row>
    <row r="31" spans="1:62">
      <c r="A31" s="175">
        <v>1</v>
      </c>
      <c r="B31" s="195" t="s">
        <v>465</v>
      </c>
      <c r="C31" s="1203">
        <v>700</v>
      </c>
      <c r="D31" s="1204">
        <v>1</v>
      </c>
      <c r="E31" s="196">
        <f t="shared" si="38"/>
        <v>0</v>
      </c>
      <c r="F31" s="197">
        <v>0</v>
      </c>
      <c r="G31" s="179">
        <f>IF(Setup!$L$8="No",0,J31+Q31+X31+AE31)</f>
        <v>0</v>
      </c>
      <c r="H31" s="179"/>
      <c r="I31" s="179">
        <f>IF(Sources!$D$10&gt;0,J31+Q31+X31+AE31,IF(Sources!$D$11&gt;0,H31,0))</f>
        <v>0</v>
      </c>
      <c r="J31" s="206">
        <v>0</v>
      </c>
      <c r="K31" s="206">
        <v>0</v>
      </c>
      <c r="L31" s="207">
        <f t="shared" si="39"/>
        <v>0</v>
      </c>
      <c r="M31" s="208">
        <f t="shared" si="46"/>
        <v>0</v>
      </c>
      <c r="N31" s="208" t="e">
        <f t="shared" si="46"/>
        <v>#REF!</v>
      </c>
      <c r="O31" s="209">
        <f t="shared" si="46"/>
        <v>0</v>
      </c>
      <c r="P31" s="209">
        <f t="shared" si="27"/>
        <v>0</v>
      </c>
      <c r="Q31" s="198">
        <v>0</v>
      </c>
      <c r="R31" s="198">
        <v>0</v>
      </c>
      <c r="S31" s="199">
        <f t="shared" si="28"/>
        <v>0</v>
      </c>
      <c r="T31" s="200">
        <f t="shared" si="47"/>
        <v>0</v>
      </c>
      <c r="U31" s="200" t="e">
        <f t="shared" si="47"/>
        <v>#REF!</v>
      </c>
      <c r="V31" s="201">
        <f t="shared" si="47"/>
        <v>0</v>
      </c>
      <c r="W31" s="184">
        <f t="shared" si="40"/>
        <v>0</v>
      </c>
      <c r="X31" s="202">
        <v>0</v>
      </c>
      <c r="Y31" s="202">
        <v>0</v>
      </c>
      <c r="Z31" s="203">
        <f t="shared" si="29"/>
        <v>0</v>
      </c>
      <c r="AA31" s="204">
        <f t="shared" si="48"/>
        <v>0</v>
      </c>
      <c r="AB31" s="204" t="e">
        <f t="shared" si="48"/>
        <v>#REF!</v>
      </c>
      <c r="AC31" s="205">
        <f t="shared" si="48"/>
        <v>0</v>
      </c>
      <c r="AD31" s="188">
        <f t="shared" si="41"/>
        <v>0</v>
      </c>
      <c r="AE31" s="206">
        <v>0</v>
      </c>
      <c r="AF31" s="206">
        <v>0</v>
      </c>
      <c r="AG31" s="207">
        <f t="shared" si="30"/>
        <v>0</v>
      </c>
      <c r="AH31" s="208">
        <f t="shared" si="49"/>
        <v>0</v>
      </c>
      <c r="AI31" s="208" t="e">
        <f t="shared" si="49"/>
        <v>#REF!</v>
      </c>
      <c r="AJ31" s="209">
        <f t="shared" si="49"/>
        <v>0</v>
      </c>
      <c r="AK31" s="192">
        <f t="shared" si="42"/>
        <v>0</v>
      </c>
      <c r="AL31" s="198">
        <v>0</v>
      </c>
      <c r="AM31" s="198">
        <v>0</v>
      </c>
      <c r="AN31" s="199">
        <f t="shared" si="31"/>
        <v>0</v>
      </c>
      <c r="AO31" s="200">
        <f t="shared" si="50"/>
        <v>0</v>
      </c>
      <c r="AP31" s="200" t="e">
        <f t="shared" si="50"/>
        <v>#REF!</v>
      </c>
      <c r="AQ31" s="201">
        <f t="shared" si="50"/>
        <v>0</v>
      </c>
      <c r="AR31" s="183">
        <f t="shared" si="43"/>
        <v>0</v>
      </c>
      <c r="AS31" s="202">
        <v>0</v>
      </c>
      <c r="AT31" s="202">
        <v>0</v>
      </c>
      <c r="AU31" s="203">
        <f t="shared" si="32"/>
        <v>0</v>
      </c>
      <c r="AV31" s="1202">
        <f t="shared" si="18"/>
        <v>0</v>
      </c>
      <c r="AW31" s="210">
        <f t="shared" si="33"/>
        <v>0</v>
      </c>
      <c r="AX31" s="196" t="str">
        <f t="shared" si="7"/>
        <v/>
      </c>
      <c r="BB31" s="98">
        <f t="shared" si="34"/>
        <v>0</v>
      </c>
      <c r="BC31" s="968">
        <f t="shared" si="19"/>
        <v>0</v>
      </c>
      <c r="BF31" s="112" t="e">
        <f t="shared" si="44"/>
        <v>#REF!</v>
      </c>
      <c r="BG31" s="117" t="e">
        <f t="shared" si="35"/>
        <v>#REF!</v>
      </c>
      <c r="BH31" s="112" t="e">
        <f t="shared" si="36"/>
        <v>#REF!</v>
      </c>
      <c r="BI31" s="117" t="e">
        <f t="shared" si="37"/>
        <v>#REF!</v>
      </c>
      <c r="BJ31" s="98" t="e">
        <f t="shared" si="45"/>
        <v>#REF!</v>
      </c>
    </row>
    <row r="32" spans="1:62" hidden="1" outlineLevel="1">
      <c r="A32" s="175">
        <v>1</v>
      </c>
      <c r="B32" s="195" t="s">
        <v>466</v>
      </c>
      <c r="C32" s="1203">
        <v>700</v>
      </c>
      <c r="D32" s="1204">
        <v>1</v>
      </c>
      <c r="E32" s="196">
        <f t="shared" si="38"/>
        <v>0</v>
      </c>
      <c r="F32" s="197">
        <v>0</v>
      </c>
      <c r="G32" s="179">
        <f>IF(Setup!$L$8="No",0,J32+Q32+X32+AE32)</f>
        <v>0</v>
      </c>
      <c r="H32" s="179"/>
      <c r="I32" s="179">
        <f>IF(Sources!$D$10&gt;0,J32+Q32+X32+AE32,IF(Sources!$D$11&gt;0,H32,0))</f>
        <v>0</v>
      </c>
      <c r="J32" s="206">
        <v>0</v>
      </c>
      <c r="K32" s="206">
        <v>0</v>
      </c>
      <c r="L32" s="207">
        <f t="shared" si="39"/>
        <v>0</v>
      </c>
      <c r="M32" s="208">
        <f t="shared" si="46"/>
        <v>0</v>
      </c>
      <c r="N32" s="208" t="e">
        <f t="shared" si="46"/>
        <v>#REF!</v>
      </c>
      <c r="O32" s="209">
        <f t="shared" si="46"/>
        <v>0</v>
      </c>
      <c r="P32" s="209">
        <f t="shared" si="27"/>
        <v>0</v>
      </c>
      <c r="Q32" s="198">
        <v>0</v>
      </c>
      <c r="R32" s="198">
        <v>0</v>
      </c>
      <c r="S32" s="199">
        <f t="shared" si="28"/>
        <v>0</v>
      </c>
      <c r="T32" s="200">
        <f t="shared" si="47"/>
        <v>0</v>
      </c>
      <c r="U32" s="200" t="e">
        <f t="shared" si="47"/>
        <v>#REF!</v>
      </c>
      <c r="V32" s="201">
        <f t="shared" si="47"/>
        <v>0</v>
      </c>
      <c r="W32" s="184">
        <f t="shared" si="40"/>
        <v>0</v>
      </c>
      <c r="X32" s="202">
        <v>0</v>
      </c>
      <c r="Y32" s="202">
        <v>0</v>
      </c>
      <c r="Z32" s="203">
        <f t="shared" si="29"/>
        <v>0</v>
      </c>
      <c r="AA32" s="204">
        <f t="shared" si="48"/>
        <v>0</v>
      </c>
      <c r="AB32" s="204" t="e">
        <f t="shared" si="48"/>
        <v>#REF!</v>
      </c>
      <c r="AC32" s="205">
        <f t="shared" si="48"/>
        <v>0</v>
      </c>
      <c r="AD32" s="188">
        <f t="shared" si="41"/>
        <v>0</v>
      </c>
      <c r="AE32" s="206">
        <v>0</v>
      </c>
      <c r="AF32" s="206">
        <v>0</v>
      </c>
      <c r="AG32" s="207">
        <f t="shared" si="30"/>
        <v>0</v>
      </c>
      <c r="AH32" s="208">
        <f t="shared" si="49"/>
        <v>0</v>
      </c>
      <c r="AI32" s="208" t="e">
        <f t="shared" si="49"/>
        <v>#REF!</v>
      </c>
      <c r="AJ32" s="209">
        <f t="shared" si="49"/>
        <v>0</v>
      </c>
      <c r="AK32" s="192">
        <f t="shared" si="42"/>
        <v>0</v>
      </c>
      <c r="AL32" s="198">
        <v>0</v>
      </c>
      <c r="AM32" s="198">
        <v>0</v>
      </c>
      <c r="AN32" s="199">
        <f t="shared" si="31"/>
        <v>0</v>
      </c>
      <c r="AO32" s="200">
        <f t="shared" si="50"/>
        <v>0</v>
      </c>
      <c r="AP32" s="200" t="e">
        <f t="shared" si="50"/>
        <v>#REF!</v>
      </c>
      <c r="AQ32" s="201">
        <f t="shared" si="50"/>
        <v>0</v>
      </c>
      <c r="AR32" s="183">
        <f t="shared" si="43"/>
        <v>0</v>
      </c>
      <c r="AS32" s="202">
        <v>0</v>
      </c>
      <c r="AT32" s="202">
        <v>0</v>
      </c>
      <c r="AU32" s="203">
        <f t="shared" si="32"/>
        <v>0</v>
      </c>
      <c r="AV32" s="1202">
        <f t="shared" si="18"/>
        <v>0</v>
      </c>
      <c r="AW32" s="210">
        <f t="shared" si="33"/>
        <v>0</v>
      </c>
      <c r="AX32" s="196" t="str">
        <f t="shared" si="7"/>
        <v/>
      </c>
      <c r="BB32" s="98">
        <f t="shared" si="34"/>
        <v>0</v>
      </c>
      <c r="BC32" s="968">
        <f t="shared" si="19"/>
        <v>0</v>
      </c>
      <c r="BF32" s="112" t="e">
        <f t="shared" si="44"/>
        <v>#REF!</v>
      </c>
      <c r="BG32" s="117" t="e">
        <f t="shared" si="35"/>
        <v>#REF!</v>
      </c>
      <c r="BH32" s="112" t="e">
        <f t="shared" si="36"/>
        <v>#REF!</v>
      </c>
      <c r="BI32" s="117" t="e">
        <f t="shared" si="37"/>
        <v>#REF!</v>
      </c>
      <c r="BJ32" s="98" t="e">
        <f t="shared" si="45"/>
        <v>#REF!</v>
      </c>
    </row>
    <row r="33" spans="1:62" hidden="1" outlineLevel="1">
      <c r="A33" s="175">
        <v>1</v>
      </c>
      <c r="B33" s="195" t="s">
        <v>467</v>
      </c>
      <c r="C33" s="1203">
        <v>700</v>
      </c>
      <c r="D33" s="1204">
        <v>1</v>
      </c>
      <c r="E33" s="196">
        <f t="shared" si="38"/>
        <v>0</v>
      </c>
      <c r="F33" s="197">
        <v>0</v>
      </c>
      <c r="G33" s="179">
        <f>IF(Setup!$L$8="No",0,J33+Q33+X33+AE33)</f>
        <v>0</v>
      </c>
      <c r="H33" s="179"/>
      <c r="I33" s="179">
        <f>IF(Sources!$D$10&gt;0,J33+Q33+X33+AE33,IF(Sources!$D$11&gt;0,H33,0))</f>
        <v>0</v>
      </c>
      <c r="J33" s="206">
        <v>0</v>
      </c>
      <c r="K33" s="206">
        <v>0</v>
      </c>
      <c r="L33" s="207">
        <f t="shared" si="39"/>
        <v>0</v>
      </c>
      <c r="M33" s="208">
        <f t="shared" si="46"/>
        <v>0</v>
      </c>
      <c r="N33" s="208" t="e">
        <f t="shared" si="46"/>
        <v>#REF!</v>
      </c>
      <c r="O33" s="209">
        <f t="shared" si="46"/>
        <v>0</v>
      </c>
      <c r="P33" s="209">
        <f t="shared" si="27"/>
        <v>0</v>
      </c>
      <c r="Q33" s="198">
        <v>0</v>
      </c>
      <c r="R33" s="198">
        <v>0</v>
      </c>
      <c r="S33" s="199">
        <f t="shared" si="28"/>
        <v>0</v>
      </c>
      <c r="T33" s="200">
        <f t="shared" si="47"/>
        <v>0</v>
      </c>
      <c r="U33" s="200" t="e">
        <f t="shared" si="47"/>
        <v>#REF!</v>
      </c>
      <c r="V33" s="201">
        <f t="shared" si="47"/>
        <v>0</v>
      </c>
      <c r="W33" s="184">
        <f t="shared" si="40"/>
        <v>0</v>
      </c>
      <c r="X33" s="202">
        <v>0</v>
      </c>
      <c r="Y33" s="202">
        <v>0</v>
      </c>
      <c r="Z33" s="203">
        <f t="shared" si="29"/>
        <v>0</v>
      </c>
      <c r="AA33" s="204">
        <f t="shared" si="48"/>
        <v>0</v>
      </c>
      <c r="AB33" s="204" t="e">
        <f t="shared" si="48"/>
        <v>#REF!</v>
      </c>
      <c r="AC33" s="205">
        <f t="shared" si="48"/>
        <v>0</v>
      </c>
      <c r="AD33" s="188">
        <f t="shared" si="41"/>
        <v>0</v>
      </c>
      <c r="AE33" s="206">
        <v>0</v>
      </c>
      <c r="AF33" s="206">
        <v>0</v>
      </c>
      <c r="AG33" s="207">
        <f t="shared" si="30"/>
        <v>0</v>
      </c>
      <c r="AH33" s="208">
        <f t="shared" si="49"/>
        <v>0</v>
      </c>
      <c r="AI33" s="208" t="e">
        <f t="shared" si="49"/>
        <v>#REF!</v>
      </c>
      <c r="AJ33" s="209">
        <f t="shared" si="49"/>
        <v>0</v>
      </c>
      <c r="AK33" s="192">
        <f t="shared" si="42"/>
        <v>0</v>
      </c>
      <c r="AL33" s="198">
        <v>0</v>
      </c>
      <c r="AM33" s="198">
        <v>0</v>
      </c>
      <c r="AN33" s="199">
        <f t="shared" si="31"/>
        <v>0</v>
      </c>
      <c r="AO33" s="200">
        <f t="shared" si="50"/>
        <v>0</v>
      </c>
      <c r="AP33" s="200" t="e">
        <f t="shared" si="50"/>
        <v>#REF!</v>
      </c>
      <c r="AQ33" s="201">
        <f t="shared" si="50"/>
        <v>0</v>
      </c>
      <c r="AR33" s="183">
        <f t="shared" si="43"/>
        <v>0</v>
      </c>
      <c r="AS33" s="202">
        <v>0</v>
      </c>
      <c r="AT33" s="202">
        <v>0</v>
      </c>
      <c r="AU33" s="203">
        <f t="shared" si="32"/>
        <v>0</v>
      </c>
      <c r="AV33" s="1202">
        <f t="shared" si="18"/>
        <v>0</v>
      </c>
      <c r="AW33" s="210">
        <f t="shared" si="33"/>
        <v>0</v>
      </c>
      <c r="AX33" s="196" t="str">
        <f t="shared" si="7"/>
        <v/>
      </c>
      <c r="BB33" s="98">
        <f t="shared" si="34"/>
        <v>0</v>
      </c>
      <c r="BC33" s="968">
        <f t="shared" si="19"/>
        <v>0</v>
      </c>
      <c r="BF33" s="112" t="e">
        <f t="shared" si="44"/>
        <v>#REF!</v>
      </c>
      <c r="BG33" s="117" t="e">
        <f t="shared" si="35"/>
        <v>#REF!</v>
      </c>
      <c r="BH33" s="112" t="e">
        <f t="shared" si="36"/>
        <v>#REF!</v>
      </c>
      <c r="BI33" s="117" t="e">
        <f t="shared" si="37"/>
        <v>#REF!</v>
      </c>
      <c r="BJ33" s="98" t="e">
        <f t="shared" si="45"/>
        <v>#REF!</v>
      </c>
    </row>
    <row r="34" spans="1:62" hidden="1" outlineLevel="1">
      <c r="A34" s="175">
        <v>1</v>
      </c>
      <c r="B34" s="195" t="s">
        <v>468</v>
      </c>
      <c r="C34" s="1203">
        <v>700</v>
      </c>
      <c r="D34" s="1204">
        <v>1</v>
      </c>
      <c r="E34" s="196">
        <f t="shared" si="38"/>
        <v>0</v>
      </c>
      <c r="F34" s="197">
        <v>0</v>
      </c>
      <c r="G34" s="179">
        <f>IF(Setup!$L$8="No",0,J34+Q34+X34+AE34)</f>
        <v>0</v>
      </c>
      <c r="H34" s="179"/>
      <c r="I34" s="179">
        <f>IF(Sources!$D$10&gt;0,J34+Q34+X34+AE34,IF(Sources!$D$11&gt;0,H34,0))</f>
        <v>0</v>
      </c>
      <c r="J34" s="206">
        <v>0</v>
      </c>
      <c r="K34" s="206">
        <v>0</v>
      </c>
      <c r="L34" s="207">
        <f t="shared" si="39"/>
        <v>0</v>
      </c>
      <c r="M34" s="208">
        <f t="shared" si="46"/>
        <v>0</v>
      </c>
      <c r="N34" s="208" t="e">
        <f t="shared" si="46"/>
        <v>#REF!</v>
      </c>
      <c r="O34" s="209">
        <f t="shared" si="46"/>
        <v>0</v>
      </c>
      <c r="P34" s="209">
        <f t="shared" si="27"/>
        <v>0</v>
      </c>
      <c r="Q34" s="198">
        <v>0</v>
      </c>
      <c r="R34" s="198">
        <v>0</v>
      </c>
      <c r="S34" s="199">
        <f t="shared" si="28"/>
        <v>0</v>
      </c>
      <c r="T34" s="200">
        <f t="shared" si="47"/>
        <v>0</v>
      </c>
      <c r="U34" s="200" t="e">
        <f t="shared" si="47"/>
        <v>#REF!</v>
      </c>
      <c r="V34" s="201">
        <f t="shared" si="47"/>
        <v>0</v>
      </c>
      <c r="W34" s="184">
        <f t="shared" si="40"/>
        <v>0</v>
      </c>
      <c r="X34" s="202">
        <v>0</v>
      </c>
      <c r="Y34" s="202">
        <v>0</v>
      </c>
      <c r="Z34" s="203">
        <f t="shared" si="29"/>
        <v>0</v>
      </c>
      <c r="AA34" s="204">
        <f t="shared" si="48"/>
        <v>0</v>
      </c>
      <c r="AB34" s="204" t="e">
        <f t="shared" si="48"/>
        <v>#REF!</v>
      </c>
      <c r="AC34" s="205">
        <f t="shared" si="48"/>
        <v>0</v>
      </c>
      <c r="AD34" s="188">
        <f t="shared" si="41"/>
        <v>0</v>
      </c>
      <c r="AE34" s="206">
        <v>0</v>
      </c>
      <c r="AF34" s="206">
        <v>0</v>
      </c>
      <c r="AG34" s="207">
        <f t="shared" si="30"/>
        <v>0</v>
      </c>
      <c r="AH34" s="208">
        <f t="shared" si="49"/>
        <v>0</v>
      </c>
      <c r="AI34" s="208" t="e">
        <f t="shared" si="49"/>
        <v>#REF!</v>
      </c>
      <c r="AJ34" s="209">
        <f t="shared" si="49"/>
        <v>0</v>
      </c>
      <c r="AK34" s="192">
        <f t="shared" si="42"/>
        <v>0</v>
      </c>
      <c r="AL34" s="198">
        <v>0</v>
      </c>
      <c r="AM34" s="198">
        <v>0</v>
      </c>
      <c r="AN34" s="199">
        <f t="shared" si="31"/>
        <v>0</v>
      </c>
      <c r="AO34" s="200">
        <f t="shared" si="50"/>
        <v>0</v>
      </c>
      <c r="AP34" s="200" t="e">
        <f t="shared" si="50"/>
        <v>#REF!</v>
      </c>
      <c r="AQ34" s="201">
        <f t="shared" si="50"/>
        <v>0</v>
      </c>
      <c r="AR34" s="183">
        <f t="shared" si="43"/>
        <v>0</v>
      </c>
      <c r="AS34" s="202">
        <v>0</v>
      </c>
      <c r="AT34" s="202">
        <v>0</v>
      </c>
      <c r="AU34" s="203">
        <f t="shared" si="32"/>
        <v>0</v>
      </c>
      <c r="AV34" s="1202">
        <f t="shared" si="18"/>
        <v>0</v>
      </c>
      <c r="AW34" s="210">
        <f t="shared" si="33"/>
        <v>0</v>
      </c>
      <c r="AX34" s="196" t="str">
        <f t="shared" si="7"/>
        <v/>
      </c>
      <c r="BB34" s="98">
        <f t="shared" si="34"/>
        <v>0</v>
      </c>
      <c r="BC34" s="968">
        <f t="shared" si="19"/>
        <v>0</v>
      </c>
      <c r="BF34" s="112" t="e">
        <f t="shared" si="44"/>
        <v>#REF!</v>
      </c>
      <c r="BG34" s="117" t="e">
        <f t="shared" si="35"/>
        <v>#REF!</v>
      </c>
      <c r="BH34" s="112" t="e">
        <f t="shared" si="36"/>
        <v>#REF!</v>
      </c>
      <c r="BI34" s="117" t="e">
        <f t="shared" si="37"/>
        <v>#REF!</v>
      </c>
      <c r="BJ34" s="98" t="e">
        <f t="shared" si="45"/>
        <v>#REF!</v>
      </c>
    </row>
    <row r="35" spans="1:62" hidden="1" outlineLevel="1">
      <c r="A35" s="175">
        <v>1</v>
      </c>
      <c r="B35" s="195" t="s">
        <v>469</v>
      </c>
      <c r="C35" s="1203">
        <v>700</v>
      </c>
      <c r="D35" s="1204">
        <v>1</v>
      </c>
      <c r="E35" s="196">
        <f t="shared" si="38"/>
        <v>0</v>
      </c>
      <c r="F35" s="197">
        <v>0</v>
      </c>
      <c r="G35" s="179">
        <f>IF(Setup!$L$8="No",0,J35+Q35+X35+AE35)</f>
        <v>0</v>
      </c>
      <c r="H35" s="179"/>
      <c r="I35" s="179">
        <f>IF(Sources!$D$10&gt;0,J35+Q35+X35+AE35,IF(Sources!$D$11&gt;0,H35,0))</f>
        <v>0</v>
      </c>
      <c r="J35" s="206">
        <v>0</v>
      </c>
      <c r="K35" s="206">
        <v>0</v>
      </c>
      <c r="L35" s="207">
        <f t="shared" si="39"/>
        <v>0</v>
      </c>
      <c r="M35" s="208">
        <f t="shared" si="46"/>
        <v>0</v>
      </c>
      <c r="N35" s="208" t="e">
        <f t="shared" si="46"/>
        <v>#REF!</v>
      </c>
      <c r="O35" s="209">
        <f t="shared" si="46"/>
        <v>0</v>
      </c>
      <c r="P35" s="209">
        <f t="shared" si="27"/>
        <v>0</v>
      </c>
      <c r="Q35" s="198">
        <v>0</v>
      </c>
      <c r="R35" s="198">
        <v>0</v>
      </c>
      <c r="S35" s="199">
        <f t="shared" si="28"/>
        <v>0</v>
      </c>
      <c r="T35" s="200">
        <f t="shared" si="47"/>
        <v>0</v>
      </c>
      <c r="U35" s="200" t="e">
        <f t="shared" si="47"/>
        <v>#REF!</v>
      </c>
      <c r="V35" s="201">
        <f t="shared" si="47"/>
        <v>0</v>
      </c>
      <c r="W35" s="184">
        <f t="shared" si="40"/>
        <v>0</v>
      </c>
      <c r="X35" s="202">
        <v>0</v>
      </c>
      <c r="Y35" s="202">
        <v>0</v>
      </c>
      <c r="Z35" s="203">
        <f t="shared" si="29"/>
        <v>0</v>
      </c>
      <c r="AA35" s="204">
        <f t="shared" si="48"/>
        <v>0</v>
      </c>
      <c r="AB35" s="204" t="e">
        <f t="shared" si="48"/>
        <v>#REF!</v>
      </c>
      <c r="AC35" s="205">
        <f t="shared" si="48"/>
        <v>0</v>
      </c>
      <c r="AD35" s="188">
        <f t="shared" si="41"/>
        <v>0</v>
      </c>
      <c r="AE35" s="206">
        <v>0</v>
      </c>
      <c r="AF35" s="206">
        <v>0</v>
      </c>
      <c r="AG35" s="207">
        <f t="shared" si="30"/>
        <v>0</v>
      </c>
      <c r="AH35" s="208">
        <f t="shared" si="49"/>
        <v>0</v>
      </c>
      <c r="AI35" s="208" t="e">
        <f t="shared" si="49"/>
        <v>#REF!</v>
      </c>
      <c r="AJ35" s="209">
        <f t="shared" si="49"/>
        <v>0</v>
      </c>
      <c r="AK35" s="192">
        <f t="shared" si="42"/>
        <v>0</v>
      </c>
      <c r="AL35" s="198">
        <v>0</v>
      </c>
      <c r="AM35" s="198">
        <v>0</v>
      </c>
      <c r="AN35" s="199">
        <f t="shared" si="31"/>
        <v>0</v>
      </c>
      <c r="AO35" s="200">
        <f t="shared" si="50"/>
        <v>0</v>
      </c>
      <c r="AP35" s="200" t="e">
        <f t="shared" si="50"/>
        <v>#REF!</v>
      </c>
      <c r="AQ35" s="201">
        <f t="shared" si="50"/>
        <v>0</v>
      </c>
      <c r="AR35" s="183">
        <f t="shared" si="43"/>
        <v>0</v>
      </c>
      <c r="AS35" s="202">
        <v>0</v>
      </c>
      <c r="AT35" s="202">
        <v>0</v>
      </c>
      <c r="AU35" s="203">
        <f t="shared" si="32"/>
        <v>0</v>
      </c>
      <c r="AV35" s="1202">
        <f t="shared" si="18"/>
        <v>0</v>
      </c>
      <c r="AW35" s="210">
        <f t="shared" si="33"/>
        <v>0</v>
      </c>
      <c r="AX35" s="196" t="str">
        <f t="shared" si="7"/>
        <v/>
      </c>
      <c r="BB35" s="98">
        <f t="shared" si="34"/>
        <v>0</v>
      </c>
      <c r="BC35" s="968">
        <f t="shared" si="19"/>
        <v>0</v>
      </c>
      <c r="BF35" s="112" t="e">
        <f t="shared" si="44"/>
        <v>#REF!</v>
      </c>
      <c r="BG35" s="117" t="e">
        <f t="shared" si="35"/>
        <v>#REF!</v>
      </c>
      <c r="BH35" s="112" t="e">
        <f t="shared" si="36"/>
        <v>#REF!</v>
      </c>
      <c r="BI35" s="117" t="e">
        <f t="shared" si="37"/>
        <v>#REF!</v>
      </c>
      <c r="BJ35" s="98" t="e">
        <f t="shared" si="45"/>
        <v>#REF!</v>
      </c>
    </row>
    <row r="36" spans="1:62" hidden="1" outlineLevel="1">
      <c r="A36" s="175">
        <v>1</v>
      </c>
      <c r="B36" s="195" t="s">
        <v>470</v>
      </c>
      <c r="C36" s="1203">
        <v>700</v>
      </c>
      <c r="D36" s="1204">
        <v>1</v>
      </c>
      <c r="E36" s="196">
        <f t="shared" si="38"/>
        <v>0</v>
      </c>
      <c r="F36" s="197">
        <v>0</v>
      </c>
      <c r="G36" s="179">
        <f>IF(Setup!$L$8="No",0,J36+Q36+X36+AE36)</f>
        <v>0</v>
      </c>
      <c r="H36" s="179"/>
      <c r="I36" s="179">
        <f>IF(Sources!$D$10&gt;0,J36+Q36+X36+AE36,IF(Sources!$D$11&gt;0,H36,0))</f>
        <v>0</v>
      </c>
      <c r="J36" s="206">
        <v>0</v>
      </c>
      <c r="K36" s="206">
        <v>0</v>
      </c>
      <c r="L36" s="207">
        <f t="shared" si="39"/>
        <v>0</v>
      </c>
      <c r="M36" s="208">
        <f t="shared" si="46"/>
        <v>0</v>
      </c>
      <c r="N36" s="208" t="e">
        <f t="shared" si="46"/>
        <v>#REF!</v>
      </c>
      <c r="O36" s="209">
        <f t="shared" si="46"/>
        <v>0</v>
      </c>
      <c r="P36" s="209">
        <f t="shared" si="27"/>
        <v>0</v>
      </c>
      <c r="Q36" s="198">
        <v>0</v>
      </c>
      <c r="R36" s="198">
        <v>0</v>
      </c>
      <c r="S36" s="199">
        <f t="shared" si="28"/>
        <v>0</v>
      </c>
      <c r="T36" s="200">
        <f t="shared" si="47"/>
        <v>0</v>
      </c>
      <c r="U36" s="200" t="e">
        <f t="shared" si="47"/>
        <v>#REF!</v>
      </c>
      <c r="V36" s="201">
        <f t="shared" si="47"/>
        <v>0</v>
      </c>
      <c r="W36" s="184">
        <f t="shared" si="40"/>
        <v>0</v>
      </c>
      <c r="X36" s="202">
        <v>0</v>
      </c>
      <c r="Y36" s="202">
        <v>0</v>
      </c>
      <c r="Z36" s="203">
        <f t="shared" si="29"/>
        <v>0</v>
      </c>
      <c r="AA36" s="204">
        <f t="shared" si="48"/>
        <v>0</v>
      </c>
      <c r="AB36" s="204" t="e">
        <f t="shared" si="48"/>
        <v>#REF!</v>
      </c>
      <c r="AC36" s="205">
        <f t="shared" si="48"/>
        <v>0</v>
      </c>
      <c r="AD36" s="188">
        <f t="shared" si="41"/>
        <v>0</v>
      </c>
      <c r="AE36" s="206">
        <v>0</v>
      </c>
      <c r="AF36" s="206">
        <v>0</v>
      </c>
      <c r="AG36" s="207">
        <f t="shared" si="30"/>
        <v>0</v>
      </c>
      <c r="AH36" s="208">
        <f t="shared" si="49"/>
        <v>0</v>
      </c>
      <c r="AI36" s="208" t="e">
        <f t="shared" si="49"/>
        <v>#REF!</v>
      </c>
      <c r="AJ36" s="209">
        <f t="shared" si="49"/>
        <v>0</v>
      </c>
      <c r="AK36" s="192">
        <f t="shared" si="42"/>
        <v>0</v>
      </c>
      <c r="AL36" s="198">
        <v>0</v>
      </c>
      <c r="AM36" s="198">
        <v>0</v>
      </c>
      <c r="AN36" s="199">
        <f t="shared" si="31"/>
        <v>0</v>
      </c>
      <c r="AO36" s="200">
        <f t="shared" si="50"/>
        <v>0</v>
      </c>
      <c r="AP36" s="200" t="e">
        <f t="shared" si="50"/>
        <v>#REF!</v>
      </c>
      <c r="AQ36" s="201">
        <f t="shared" si="50"/>
        <v>0</v>
      </c>
      <c r="AR36" s="183">
        <f t="shared" si="43"/>
        <v>0</v>
      </c>
      <c r="AS36" s="202">
        <v>0</v>
      </c>
      <c r="AT36" s="202">
        <v>0</v>
      </c>
      <c r="AU36" s="203">
        <f t="shared" si="32"/>
        <v>0</v>
      </c>
      <c r="AV36" s="1202">
        <f t="shared" si="18"/>
        <v>0</v>
      </c>
      <c r="AW36" s="210">
        <f t="shared" si="33"/>
        <v>0</v>
      </c>
      <c r="AX36" s="196" t="str">
        <f t="shared" si="7"/>
        <v/>
      </c>
      <c r="BB36" s="98">
        <f t="shared" si="34"/>
        <v>0</v>
      </c>
      <c r="BC36" s="968">
        <f t="shared" si="19"/>
        <v>0</v>
      </c>
      <c r="BF36" s="112" t="e">
        <f t="shared" si="44"/>
        <v>#REF!</v>
      </c>
      <c r="BG36" s="117" t="e">
        <f t="shared" si="35"/>
        <v>#REF!</v>
      </c>
      <c r="BH36" s="112" t="e">
        <f t="shared" si="36"/>
        <v>#REF!</v>
      </c>
      <c r="BI36" s="117" t="e">
        <f t="shared" si="37"/>
        <v>#REF!</v>
      </c>
      <c r="BJ36" s="98" t="e">
        <f t="shared" si="45"/>
        <v>#REF!</v>
      </c>
    </row>
    <row r="37" spans="1:62" s="219" customFormat="1" collapsed="1">
      <c r="A37" s="1205" t="s">
        <v>471</v>
      </c>
      <c r="B37" s="1206"/>
      <c r="C37" s="1206">
        <f>C24*AV24+AV25*C25+AV26*C26+AV27*C27+AV28*C28+AV29*C29+AV30*C30+AV31*C31+AV32*C32+AV33*C33+AV34*C34+AV35*C35+AV36*C36</f>
        <v>0</v>
      </c>
      <c r="D37" s="1206"/>
      <c r="E37" s="222"/>
      <c r="F37" s="1206">
        <f>SUM(F24:F36)</f>
        <v>0</v>
      </c>
      <c r="G37" s="1206">
        <f>SUM(G24:G36)</f>
        <v>0</v>
      </c>
      <c r="H37" s="1206">
        <f>SUM(H24:H36)</f>
        <v>0</v>
      </c>
      <c r="I37" s="1206">
        <f>SUM(I24:I36)</f>
        <v>0</v>
      </c>
      <c r="J37" s="211">
        <f>SUM(J24:J36)</f>
        <v>0</v>
      </c>
      <c r="K37" s="211">
        <f>K24*J24+K25*J25+K31*J31+K32*J32+K33*J33+K34*J34+K35*J35+K36*J36+K26*J26+K27*J27+K28*J28+K29*J29+K30*J30</f>
        <v>0</v>
      </c>
      <c r="L37" s="211"/>
      <c r="M37" s="212"/>
      <c r="N37" s="212"/>
      <c r="O37" s="212"/>
      <c r="P37" s="212"/>
      <c r="Q37" s="213">
        <f>SUM(Q24:Q36)</f>
        <v>0</v>
      </c>
      <c r="R37" s="213">
        <f>R24*Q24+R25*Q25+R31*Q31+R32*Q32+R33*Q33+R34*Q34+R35*Q35+R36*Q36+R26*Q26+R27*Q27+R28*Q28+R29*Q29+R30*Q30</f>
        <v>0</v>
      </c>
      <c r="S37" s="213"/>
      <c r="T37" s="214"/>
      <c r="U37" s="214"/>
      <c r="V37" s="214"/>
      <c r="W37" s="214"/>
      <c r="X37" s="215">
        <f>SUM(X24:X36)</f>
        <v>0</v>
      </c>
      <c r="Y37" s="215">
        <f>Y24*X24+Y25*X25+Y31*X31+Y32*X32+Y33*X33+Y34*X34+Y35*X35+Y36*X36+Y26*X26+Y27*X27+Y28*X28+Y29*X29+Y30*X30</f>
        <v>0</v>
      </c>
      <c r="Z37" s="215"/>
      <c r="AA37" s="216"/>
      <c r="AB37" s="216"/>
      <c r="AC37" s="216"/>
      <c r="AD37" s="216"/>
      <c r="AE37" s="211">
        <f>SUM(AE24:AE36)</f>
        <v>0</v>
      </c>
      <c r="AF37" s="211">
        <f>AF24*AE24+AF25*AE25+AF31*AE31+AF32*AE32+AF33*AE33+AF34*AE34+AF35*AE35+AF36*AE36+AF26*AE26+AF27*AE27+AF28*AE28+AF29*AE29+AF30*AE30</f>
        <v>0</v>
      </c>
      <c r="AG37" s="211"/>
      <c r="AH37" s="212"/>
      <c r="AI37" s="212"/>
      <c r="AJ37" s="212"/>
      <c r="AK37" s="212"/>
      <c r="AL37" s="213">
        <f>SUM(AL24:AL36)</f>
        <v>0</v>
      </c>
      <c r="AM37" s="213">
        <f>AM24*AL24+AM25*AL25+AM31*AL31+AM32*AL32+AM33*AL33+AM34*AL34+AM35*AL35+AM36*AL36+AM26*AL26+AM27*AL27+AM28*AL28+AM29*AL29+AM30*AL30</f>
        <v>0</v>
      </c>
      <c r="AN37" s="213"/>
      <c r="AO37" s="214"/>
      <c r="AP37" s="214"/>
      <c r="AQ37" s="214"/>
      <c r="AR37" s="214"/>
      <c r="AS37" s="215">
        <f>SUM(AS24:AS36)</f>
        <v>0</v>
      </c>
      <c r="AT37" s="215">
        <f>AT24*AS24+AT25*AS25+AT31*AS31+AT32*AS32+AT33*AS33+AT34*AS34+AT35*AS35+AT36*AS36+AT26*AS26+AT27*AS27+AT28*AS28+AT29*AS29+AT30*AS30</f>
        <v>0</v>
      </c>
      <c r="AU37" s="215"/>
      <c r="AV37" s="1202">
        <f t="shared" si="18"/>
        <v>0</v>
      </c>
      <c r="AW37" s="217">
        <f>AF37+AT37+Y37+R37+K37+AM37</f>
        <v>0</v>
      </c>
      <c r="AX37" s="1206" t="str">
        <f t="shared" si="7"/>
        <v/>
      </c>
      <c r="AY37" s="218"/>
      <c r="AZ37" s="218"/>
      <c r="BA37" s="218"/>
      <c r="BB37" s="1207">
        <f>SUM(BB24:BB36)</f>
        <v>0</v>
      </c>
      <c r="BC37" s="218">
        <f>SUM(BC24:BC36)</f>
        <v>0</v>
      </c>
      <c r="BD37" s="218"/>
      <c r="BE37" s="218"/>
      <c r="BF37" s="220"/>
      <c r="BG37" s="221"/>
      <c r="BH37" s="220"/>
      <c r="BI37" s="221"/>
      <c r="BJ37" s="1207"/>
    </row>
    <row r="38" spans="1:62">
      <c r="A38" s="175">
        <v>2</v>
      </c>
      <c r="B38" s="195" t="s">
        <v>472</v>
      </c>
      <c r="C38" s="1203">
        <v>950</v>
      </c>
      <c r="D38" s="1204">
        <v>1</v>
      </c>
      <c r="E38" s="196">
        <f>Setup!M49</f>
        <v>0</v>
      </c>
      <c r="F38" s="197">
        <v>0</v>
      </c>
      <c r="G38" s="179">
        <f>IF(Setup!$L$8="No",0,J38+Q38+X38+AE38)+IF(Setup!$R$21="No",0,'Units&amp;Income'!AL38)</f>
        <v>0</v>
      </c>
      <c r="H38" s="179"/>
      <c r="I38" s="179">
        <f>IF(Sources!$D$10&gt;0,J38+Q38+X38+AE38,IF(Sources!$D$11&gt;0,H38,0))</f>
        <v>0</v>
      </c>
      <c r="J38" s="206">
        <v>0</v>
      </c>
      <c r="K38" s="206">
        <v>0</v>
      </c>
      <c r="L38" s="207">
        <f t="shared" ref="L38:L50" si="51">E38+K38</f>
        <v>0</v>
      </c>
      <c r="M38" s="1201">
        <f>IF($C$7=Max_Limits!$A$8,Max_Limits!#REF!/12*0.3*K$8,IF($C$7=Max_Limits!$A$9,Max_Limits!$D$9/12*0.3*K$8,IF('Units&amp;Income'!$C$7=Max_Limits!$A$10,Max_Limits!$D$10/12*0.3*K$8,IF('Units&amp;Income'!$C$7=Max_Limits!$A$11,Max_Limits!$D$11/12*0.3*K$8,IF('Units&amp;Income'!$C$7=Max_Limits!$A$12,Max_Limits!$D$12/12*0.3*K$8,IF('Units&amp;Income'!$C$7=Max_Limits!$A$13,Max_Limits!$D$13/12*0.3*K$8,IF($C$7=Max_Limits!$A$14,Max_Limits!$D$14/12*0.3*'Units&amp;Income'!K$8,IF('Units&amp;Income'!$C$7=Max_Limits!$A$15,Max_Limits!$D$8/12*0.3*'Units&amp;Income'!K$8,0))))))))</f>
        <v>0</v>
      </c>
      <c r="N38" s="208" t="e">
        <f>IF($C$7=Max_Limits!#REF!,Max_Limits!#REF!,IF($C$7=Max_Limits!#REF!,Max_Limits!#REF!,IF($C$7=Max_Limits!#REF!,Max_Limits!#REF!,IF($C$7=Max_Limits!#REF!,Max_Limits!#REF!,IF(D33=Max_Limits!#REF!,Max_Limits!#REF!,IF($C$7=Max_Limits!#REF!,Max_Limits!#REF!,IF($C$7=Max_Limits!#REF!,Max_Limits!#REF!, IF(D33=Max_Limits!#REF!,Max_Limits!#REF!,0))))))))</f>
        <v>#REF!</v>
      </c>
      <c r="O38" s="209">
        <f>IF(SUM($F$1:$F$2)=1,M38,IF(SUM($F$1:$F$2)=2,BF38, IF(SUM($F$1:$F$2)=3,N38,"None")))</f>
        <v>0</v>
      </c>
      <c r="P38" s="209">
        <f t="shared" ref="P38:P50" si="52">IF(O38="None",0,IF(K38&gt;0,O38-L38,0))</f>
        <v>0</v>
      </c>
      <c r="Q38" s="198">
        <v>0</v>
      </c>
      <c r="R38" s="198">
        <v>550</v>
      </c>
      <c r="S38" s="199">
        <f t="shared" ref="S38:S50" si="53">$E38+R38</f>
        <v>550</v>
      </c>
      <c r="T38" s="200">
        <f>IF($C$7=Max_Limits!$A$8,Max_Limits!#REF!/12*0.3*R$8,IF($C$7=Max_Limits!$A$9,Max_Limits!$D$9/12*0.3*R$8,IF('Units&amp;Income'!$C$7=Max_Limits!$A$10,Max_Limits!$D$10/12*0.3*R$8,IF('Units&amp;Income'!$C$7=Max_Limits!$A$11,Max_Limits!$D$11/12*0.3*R$8,IF('Units&amp;Income'!$C$7=Max_Limits!$A$12,Max_Limits!$D$12/12*0.3*R$8,IF('Units&amp;Income'!$C$7=Max_Limits!$A$13,Max_Limits!$D$13/12*0.3*R$8,IF($C$7=Max_Limits!$A$14,Max_Limits!$D$14/12*0.3*'Units&amp;Income'!R$8,IF('Units&amp;Income'!$C$7=Max_Limits!$A$15,Max_Limits!$D$8/12*0.3*'Units&amp;Income'!R$8,0))))))))</f>
        <v>0</v>
      </c>
      <c r="U38" s="200" t="e">
        <f>N38</f>
        <v>#REF!</v>
      </c>
      <c r="V38" s="201">
        <f>IF(SUM($F$1:$F$2)=1,T38,IF(SUM($F$1:$F$2)=2,BG38, IF(SUM($F$1:$F$2)=3,U38,"None")))</f>
        <v>0</v>
      </c>
      <c r="W38" s="184">
        <f>IF(V38="None",0,IF(R38&gt;0,V38-S38,0))</f>
        <v>-550</v>
      </c>
      <c r="X38" s="202">
        <v>0</v>
      </c>
      <c r="Y38" s="202">
        <v>0</v>
      </c>
      <c r="Z38" s="203">
        <f t="shared" ref="Z38:Z50" si="54">$E38+Y38</f>
        <v>0</v>
      </c>
      <c r="AA38" s="204">
        <f>IF($C$7=Max_Limits!$A$8,Max_Limits!#REF!/12*0.3*Y$8,IF($C$7=Max_Limits!$A$9,Max_Limits!$D$9/12*0.3*Y$8,IF('Units&amp;Income'!$C$7=Max_Limits!$A$10,Max_Limits!$D$10/12*0.3*Y$8,IF('Units&amp;Income'!$C$7=Max_Limits!$A$11,Max_Limits!$D$11/12*0.3*Y$8,IF('Units&amp;Income'!$C$7=Max_Limits!$A$12,Max_Limits!$D$12/12*0.3*Y$8,IF('Units&amp;Income'!$C$7=Max_Limits!$A$13,Max_Limits!$D$13/12*0.3*Y$8,IF($C$7=Max_Limits!$A$14,Max_Limits!$D$14/12*0.3*'Units&amp;Income'!Y$8,IF('Units&amp;Income'!$C$7=Max_Limits!$A$15,Max_Limits!$D$8/12*0.3*'Units&amp;Income'!Y$8,0))))))))</f>
        <v>0</v>
      </c>
      <c r="AB38" s="204" t="e">
        <f>U38</f>
        <v>#REF!</v>
      </c>
      <c r="AC38" s="205">
        <f>IF(SUM($F$1:$F$2)=1,AA38,IF(SUM($F$1:$F$2)=2,BH38, IF(SUM($F$1:$F$2)=3,AB38,"None")))</f>
        <v>0</v>
      </c>
      <c r="AD38" s="188">
        <f>IF(AC38="None",0,IF(Y38&gt;0,AC38-Z38,0))</f>
        <v>0</v>
      </c>
      <c r="AE38" s="206">
        <v>0</v>
      </c>
      <c r="AF38" s="206">
        <v>0</v>
      </c>
      <c r="AG38" s="207">
        <f t="shared" ref="AG38:AG50" si="55">$E38+AF38</f>
        <v>0</v>
      </c>
      <c r="AH38" s="208">
        <f>IF($C$7=Max_Limits!$A$8,Max_Limits!#REF!/12*0.3*AF$8,IF($C$7=Max_Limits!$A$9,Max_Limits!$D$9/12*0.3*AF$8,IF('Units&amp;Income'!$C$7=Max_Limits!$A$10,Max_Limits!$D$10/12*0.3*AF$8,IF('Units&amp;Income'!$C$7=Max_Limits!$A$11,Max_Limits!$D$11/12*0.3*AF$8,IF('Units&amp;Income'!$C$7=Max_Limits!$A$12,Max_Limits!$D$12/12*0.3*AF$8,IF('Units&amp;Income'!$C$7=Max_Limits!$A$13,Max_Limits!$D$13/12*0.3*AF$8,IF($C$7=Max_Limits!$A$14,Max_Limits!$D$14/12*0.3*'Units&amp;Income'!AF$8,IF('Units&amp;Income'!$C$7=Max_Limits!$A$15,Max_Limits!$D$8/12*0.3*'Units&amp;Income'!AF$8,0))))))))</f>
        <v>0</v>
      </c>
      <c r="AI38" s="208" t="e">
        <f>AB38</f>
        <v>#REF!</v>
      </c>
      <c r="AJ38" s="209">
        <f>IF(SUM($F$1:$F$2)=1,AH38,IF(SUM($F$1:$F$2)=2,BI38, IF(SUM($F$1:$F$2)=3,AI38,"None")))</f>
        <v>0</v>
      </c>
      <c r="AK38" s="192">
        <f>IF(AJ38="None",0,IF(AF38&gt;0,AJ38-AG38,0))</f>
        <v>0</v>
      </c>
      <c r="AL38" s="198">
        <v>0</v>
      </c>
      <c r="AM38" s="198">
        <v>0</v>
      </c>
      <c r="AN38" s="199">
        <f t="shared" ref="AN38:AN50" si="56">$E38+AM38</f>
        <v>0</v>
      </c>
      <c r="AO38" s="200">
        <f>IF($C$7=Max_Limits!$A$8,Max_Limits!#REF!/12*0.3*AM$8,IF($C$7=Max_Limits!$A$9,Max_Limits!$D$9/12*0.3*AM$8,IF('Units&amp;Income'!$C$7=Max_Limits!$A$10,Max_Limits!$D$10/12*0.3*AM$8,IF('Units&amp;Income'!$C$7=Max_Limits!$A$11,Max_Limits!$D$11/12*0.3*AM$8,IF('Units&amp;Income'!$C$7=Max_Limits!$A$12,Max_Limits!$D$12/12*0.3*AM$8,IF('Units&amp;Income'!$C$7=Max_Limits!$A$13,Max_Limits!$D$13/12*0.3*AM$8,IF($C$7=Max_Limits!$A$14,Max_Limits!$D$14/12*0.3*'Units&amp;Income'!AM$8,IF('Units&amp;Income'!$C$7=Max_Limits!$A$15,Max_Limits!$D$8/12*0.3*'Units&amp;Income'!AM$8,0))))))))</f>
        <v>0</v>
      </c>
      <c r="AP38" s="200" t="e">
        <f>AI38</f>
        <v>#REF!</v>
      </c>
      <c r="AQ38" s="201">
        <f>IF(SUM($F$1:$F$2)=1,AO38,IF(SUM($F$1:$F$2)=2,BJ38, IF(SUM($F$1:$F$2)=3,AP38,"None")))</f>
        <v>0</v>
      </c>
      <c r="AR38" s="183">
        <f>IF(AQ38="None",0,IF(AM38&gt;0,AQ38-AN38,0))</f>
        <v>0</v>
      </c>
      <c r="AS38" s="202">
        <v>0</v>
      </c>
      <c r="AT38" s="202">
        <v>0</v>
      </c>
      <c r="AU38" s="203">
        <f t="shared" ref="AU38:AU50" si="57">$E38+AT38</f>
        <v>0</v>
      </c>
      <c r="AV38" s="1202">
        <f t="shared" si="18"/>
        <v>0</v>
      </c>
      <c r="AW38" s="210">
        <f t="shared" ref="AW38:AW50" si="58">J38*K38+Q38*R38+X38*Y38+AE38*AF38+AS38*AT38</f>
        <v>0</v>
      </c>
      <c r="AX38" s="196" t="str">
        <f t="shared" si="7"/>
        <v/>
      </c>
      <c r="BB38" s="98">
        <f t="shared" ref="BB38:BB50" si="59">G38*C38</f>
        <v>0</v>
      </c>
      <c r="BC38" s="968">
        <f t="shared" si="19"/>
        <v>0</v>
      </c>
      <c r="BF38" s="112" t="e">
        <f>IF(M38&gt;N38,N38,M38)</f>
        <v>#REF!</v>
      </c>
      <c r="BG38" s="117" t="e">
        <f t="shared" ref="BG38:BG50" si="60">IF(T38&gt;U38,U38,T38)</f>
        <v>#REF!</v>
      </c>
      <c r="BH38" s="112" t="e">
        <f t="shared" ref="BH38:BH50" si="61">IF(AA38&gt;AB38,AB38,AA38)</f>
        <v>#REF!</v>
      </c>
      <c r="BI38" s="117" t="e">
        <f t="shared" ref="BI38:BI50" si="62">IF(AH38&gt;AI38,AI38,AH38)</f>
        <v>#REF!</v>
      </c>
      <c r="BJ38" s="98" t="e">
        <f>IF(AO38&gt;AP38,AP38,AO38)</f>
        <v>#REF!</v>
      </c>
    </row>
    <row r="39" spans="1:62">
      <c r="A39" s="175">
        <v>2</v>
      </c>
      <c r="B39" s="195" t="s">
        <v>473</v>
      </c>
      <c r="C39" s="1203">
        <v>950</v>
      </c>
      <c r="D39" s="1204">
        <v>1</v>
      </c>
      <c r="E39" s="196">
        <f t="shared" ref="E39:E50" si="63">E38</f>
        <v>0</v>
      </c>
      <c r="F39" s="197">
        <v>0</v>
      </c>
      <c r="G39" s="179">
        <f>IF(Setup!$L$8="No",0,J39+Q39+X39+AE39)+IF(Setup!$R$21="No",0,'Units&amp;Income'!AL39)</f>
        <v>0</v>
      </c>
      <c r="H39" s="179"/>
      <c r="I39" s="179">
        <f>IF(Sources!$D$10&gt;0,J39+Q39+X39+AE39,IF(Sources!$D$11&gt;0,H39,0))</f>
        <v>0</v>
      </c>
      <c r="J39" s="206">
        <v>0</v>
      </c>
      <c r="K39" s="206">
        <v>0</v>
      </c>
      <c r="L39" s="207">
        <f t="shared" si="51"/>
        <v>0</v>
      </c>
      <c r="M39" s="208">
        <f>M38</f>
        <v>0</v>
      </c>
      <c r="N39" s="208" t="e">
        <f>N38</f>
        <v>#REF!</v>
      </c>
      <c r="O39" s="209">
        <f>O38</f>
        <v>0</v>
      </c>
      <c r="P39" s="209">
        <f t="shared" si="52"/>
        <v>0</v>
      </c>
      <c r="Q39" s="198">
        <v>0</v>
      </c>
      <c r="R39" s="198">
        <v>600</v>
      </c>
      <c r="S39" s="199">
        <f t="shared" si="53"/>
        <v>600</v>
      </c>
      <c r="T39" s="200">
        <f>T38</f>
        <v>0</v>
      </c>
      <c r="U39" s="200" t="e">
        <f>U38</f>
        <v>#REF!</v>
      </c>
      <c r="V39" s="201">
        <f>V38</f>
        <v>0</v>
      </c>
      <c r="W39" s="184">
        <f t="shared" ref="W39:W50" si="64">IF(V39="None",0,IF(R39&gt;0,V39-S39,0))</f>
        <v>-600</v>
      </c>
      <c r="X39" s="202">
        <v>0</v>
      </c>
      <c r="Y39" s="202">
        <v>0</v>
      </c>
      <c r="Z39" s="203">
        <f t="shared" si="54"/>
        <v>0</v>
      </c>
      <c r="AA39" s="204">
        <f>AA38</f>
        <v>0</v>
      </c>
      <c r="AB39" s="204" t="e">
        <f>AB38</f>
        <v>#REF!</v>
      </c>
      <c r="AC39" s="205">
        <f>AC38</f>
        <v>0</v>
      </c>
      <c r="AD39" s="188">
        <f t="shared" ref="AD39:AD50" si="65">IF(AC39="None",0,IF(Y39&gt;0,AC39-Z39,0))</f>
        <v>0</v>
      </c>
      <c r="AE39" s="206">
        <v>0</v>
      </c>
      <c r="AF39" s="206">
        <v>0</v>
      </c>
      <c r="AG39" s="207">
        <f t="shared" si="55"/>
        <v>0</v>
      </c>
      <c r="AH39" s="208">
        <f>AH38</f>
        <v>0</v>
      </c>
      <c r="AI39" s="208" t="e">
        <f>AI38</f>
        <v>#REF!</v>
      </c>
      <c r="AJ39" s="209">
        <f>AJ38</f>
        <v>0</v>
      </c>
      <c r="AK39" s="192">
        <f t="shared" ref="AK39:AK50" si="66">IF(AJ39="None",0,IF(AF39&gt;0,AJ39-AG39,0))</f>
        <v>0</v>
      </c>
      <c r="AL39" s="198">
        <v>0</v>
      </c>
      <c r="AM39" s="198">
        <v>0</v>
      </c>
      <c r="AN39" s="199">
        <f t="shared" si="56"/>
        <v>0</v>
      </c>
      <c r="AO39" s="200">
        <f>AO38</f>
        <v>0</v>
      </c>
      <c r="AP39" s="200" t="e">
        <f>AP38</f>
        <v>#REF!</v>
      </c>
      <c r="AQ39" s="201">
        <f>AQ38</f>
        <v>0</v>
      </c>
      <c r="AR39" s="183">
        <f t="shared" ref="AR39:AR50" si="67">IF(AQ39="None",0,IF(AM39&gt;0,AQ39-AN39,0))</f>
        <v>0</v>
      </c>
      <c r="AS39" s="202">
        <v>0</v>
      </c>
      <c r="AT39" s="202">
        <v>0</v>
      </c>
      <c r="AU39" s="203">
        <f t="shared" si="57"/>
        <v>0</v>
      </c>
      <c r="AV39" s="1202">
        <f t="shared" si="18"/>
        <v>0</v>
      </c>
      <c r="AW39" s="210">
        <f t="shared" si="58"/>
        <v>0</v>
      </c>
      <c r="AX39" s="196" t="str">
        <f t="shared" si="7"/>
        <v/>
      </c>
      <c r="BB39" s="98">
        <f t="shared" si="59"/>
        <v>0</v>
      </c>
      <c r="BC39" s="968">
        <f t="shared" si="19"/>
        <v>0</v>
      </c>
      <c r="BF39" s="112" t="e">
        <f t="shared" ref="BF39:BF50" si="68">IF(M39&gt;N39,N39,M39)</f>
        <v>#REF!</v>
      </c>
      <c r="BG39" s="117" t="e">
        <f t="shared" si="60"/>
        <v>#REF!</v>
      </c>
      <c r="BH39" s="112" t="e">
        <f t="shared" si="61"/>
        <v>#REF!</v>
      </c>
      <c r="BI39" s="117" t="e">
        <f t="shared" si="62"/>
        <v>#REF!</v>
      </c>
      <c r="BJ39" s="98" t="e">
        <f t="shared" ref="BJ39:BJ50" si="69">IF(AO39&gt;AP39,AP39,AO39)</f>
        <v>#REF!</v>
      </c>
    </row>
    <row r="40" spans="1:62">
      <c r="A40" s="175">
        <v>2</v>
      </c>
      <c r="B40" s="195" t="s">
        <v>474</v>
      </c>
      <c r="C40" s="1203">
        <f t="shared" ref="C40:C50" si="70">C39</f>
        <v>950</v>
      </c>
      <c r="D40" s="1204">
        <v>1</v>
      </c>
      <c r="E40" s="196">
        <f t="shared" si="63"/>
        <v>0</v>
      </c>
      <c r="F40" s="197">
        <v>0</v>
      </c>
      <c r="G40" s="179">
        <f>IF(Setup!$L$8="No",0,J40+Q40+X40+AE40)+IF(Setup!$R$21="No",0,'Units&amp;Income'!AL40)</f>
        <v>0</v>
      </c>
      <c r="H40" s="179"/>
      <c r="I40" s="179">
        <f>IF(Sources!$D$10&gt;0,J40+Q40+X40+AE40,IF(Sources!$D$11&gt;0,H40,0))</f>
        <v>0</v>
      </c>
      <c r="J40" s="206">
        <v>0</v>
      </c>
      <c r="K40" s="206">
        <v>0</v>
      </c>
      <c r="L40" s="207">
        <f t="shared" si="51"/>
        <v>0</v>
      </c>
      <c r="M40" s="208">
        <f t="shared" ref="M40:O50" si="71">M39</f>
        <v>0</v>
      </c>
      <c r="N40" s="208" t="e">
        <f t="shared" si="71"/>
        <v>#REF!</v>
      </c>
      <c r="O40" s="209">
        <f t="shared" si="71"/>
        <v>0</v>
      </c>
      <c r="P40" s="209">
        <f t="shared" si="52"/>
        <v>0</v>
      </c>
      <c r="Q40" s="198">
        <v>0</v>
      </c>
      <c r="R40" s="198">
        <v>0</v>
      </c>
      <c r="S40" s="199">
        <f t="shared" si="53"/>
        <v>0</v>
      </c>
      <c r="T40" s="200">
        <f t="shared" ref="T40:V50" si="72">T39</f>
        <v>0</v>
      </c>
      <c r="U40" s="200" t="e">
        <f t="shared" si="72"/>
        <v>#REF!</v>
      </c>
      <c r="V40" s="201">
        <f t="shared" si="72"/>
        <v>0</v>
      </c>
      <c r="W40" s="184">
        <f t="shared" si="64"/>
        <v>0</v>
      </c>
      <c r="X40" s="202">
        <v>0</v>
      </c>
      <c r="Y40" s="202">
        <v>0</v>
      </c>
      <c r="Z40" s="203">
        <f t="shared" si="54"/>
        <v>0</v>
      </c>
      <c r="AA40" s="204">
        <f t="shared" ref="AA40:AC50" si="73">AA39</f>
        <v>0</v>
      </c>
      <c r="AB40" s="204" t="e">
        <f t="shared" si="73"/>
        <v>#REF!</v>
      </c>
      <c r="AC40" s="205">
        <f t="shared" si="73"/>
        <v>0</v>
      </c>
      <c r="AD40" s="188">
        <f t="shared" si="65"/>
        <v>0</v>
      </c>
      <c r="AE40" s="206">
        <v>0</v>
      </c>
      <c r="AF40" s="206">
        <v>0</v>
      </c>
      <c r="AG40" s="207">
        <f t="shared" si="55"/>
        <v>0</v>
      </c>
      <c r="AH40" s="208">
        <f t="shared" ref="AH40:AJ50" si="74">AH39</f>
        <v>0</v>
      </c>
      <c r="AI40" s="208" t="e">
        <f t="shared" si="74"/>
        <v>#REF!</v>
      </c>
      <c r="AJ40" s="209">
        <f t="shared" si="74"/>
        <v>0</v>
      </c>
      <c r="AK40" s="192">
        <f t="shared" si="66"/>
        <v>0</v>
      </c>
      <c r="AL40" s="198">
        <v>0</v>
      </c>
      <c r="AM40" s="198">
        <v>0</v>
      </c>
      <c r="AN40" s="199">
        <f t="shared" si="56"/>
        <v>0</v>
      </c>
      <c r="AO40" s="200">
        <f t="shared" ref="AO40:AQ50" si="75">AO39</f>
        <v>0</v>
      </c>
      <c r="AP40" s="200" t="e">
        <f t="shared" si="75"/>
        <v>#REF!</v>
      </c>
      <c r="AQ40" s="201">
        <f t="shared" si="75"/>
        <v>0</v>
      </c>
      <c r="AR40" s="183">
        <f t="shared" si="67"/>
        <v>0</v>
      </c>
      <c r="AS40" s="202">
        <v>0</v>
      </c>
      <c r="AT40" s="202">
        <v>0</v>
      </c>
      <c r="AU40" s="203">
        <f t="shared" si="57"/>
        <v>0</v>
      </c>
      <c r="AV40" s="1202">
        <f t="shared" si="18"/>
        <v>0</v>
      </c>
      <c r="AW40" s="210">
        <f t="shared" si="58"/>
        <v>0</v>
      </c>
      <c r="AX40" s="196" t="str">
        <f t="shared" si="7"/>
        <v/>
      </c>
      <c r="BB40" s="98">
        <f t="shared" si="59"/>
        <v>0</v>
      </c>
      <c r="BC40" s="968">
        <f t="shared" si="19"/>
        <v>0</v>
      </c>
      <c r="BF40" s="112" t="e">
        <f t="shared" si="68"/>
        <v>#REF!</v>
      </c>
      <c r="BG40" s="117" t="e">
        <f t="shared" si="60"/>
        <v>#REF!</v>
      </c>
      <c r="BH40" s="112" t="e">
        <f t="shared" si="61"/>
        <v>#REF!</v>
      </c>
      <c r="BI40" s="117" t="e">
        <f t="shared" si="62"/>
        <v>#REF!</v>
      </c>
      <c r="BJ40" s="98" t="e">
        <f t="shared" si="69"/>
        <v>#REF!</v>
      </c>
    </row>
    <row r="41" spans="1:62">
      <c r="A41" s="175">
        <v>2</v>
      </c>
      <c r="B41" s="195" t="s">
        <v>475</v>
      </c>
      <c r="C41" s="1203">
        <f t="shared" si="70"/>
        <v>950</v>
      </c>
      <c r="D41" s="1204">
        <v>1</v>
      </c>
      <c r="E41" s="196">
        <f t="shared" si="63"/>
        <v>0</v>
      </c>
      <c r="F41" s="197">
        <v>0</v>
      </c>
      <c r="G41" s="179">
        <f>IF(Setup!$L$8="No",0,J41+Q41+X41+AE41)+IF(Setup!$R$21="No",0,'Units&amp;Income'!AL41)</f>
        <v>0</v>
      </c>
      <c r="H41" s="179"/>
      <c r="I41" s="179">
        <f>IF(Sources!$D$10&gt;0,J41+Q41+X41+AE41,IF(Sources!$D$11&gt;0,H41,0))</f>
        <v>0</v>
      </c>
      <c r="J41" s="206">
        <v>0</v>
      </c>
      <c r="K41" s="206">
        <v>0</v>
      </c>
      <c r="L41" s="207">
        <f t="shared" si="51"/>
        <v>0</v>
      </c>
      <c r="M41" s="208">
        <f t="shared" si="71"/>
        <v>0</v>
      </c>
      <c r="N41" s="208" t="e">
        <f t="shared" si="71"/>
        <v>#REF!</v>
      </c>
      <c r="O41" s="209">
        <f t="shared" si="71"/>
        <v>0</v>
      </c>
      <c r="P41" s="209">
        <f t="shared" si="52"/>
        <v>0</v>
      </c>
      <c r="Q41" s="198">
        <v>0</v>
      </c>
      <c r="R41" s="198">
        <v>0</v>
      </c>
      <c r="S41" s="199">
        <f t="shared" si="53"/>
        <v>0</v>
      </c>
      <c r="T41" s="200">
        <f t="shared" si="72"/>
        <v>0</v>
      </c>
      <c r="U41" s="200" t="e">
        <f t="shared" si="72"/>
        <v>#REF!</v>
      </c>
      <c r="V41" s="201">
        <f t="shared" si="72"/>
        <v>0</v>
      </c>
      <c r="W41" s="184">
        <f t="shared" si="64"/>
        <v>0</v>
      </c>
      <c r="X41" s="202">
        <v>0</v>
      </c>
      <c r="Y41" s="202">
        <v>0</v>
      </c>
      <c r="Z41" s="203">
        <f t="shared" si="54"/>
        <v>0</v>
      </c>
      <c r="AA41" s="204">
        <f t="shared" si="73"/>
        <v>0</v>
      </c>
      <c r="AB41" s="204" t="e">
        <f t="shared" si="73"/>
        <v>#REF!</v>
      </c>
      <c r="AC41" s="205">
        <f t="shared" si="73"/>
        <v>0</v>
      </c>
      <c r="AD41" s="188">
        <f t="shared" si="65"/>
        <v>0</v>
      </c>
      <c r="AE41" s="206">
        <v>0</v>
      </c>
      <c r="AF41" s="206">
        <v>0</v>
      </c>
      <c r="AG41" s="207">
        <f t="shared" si="55"/>
        <v>0</v>
      </c>
      <c r="AH41" s="208">
        <f t="shared" si="74"/>
        <v>0</v>
      </c>
      <c r="AI41" s="208" t="e">
        <f t="shared" si="74"/>
        <v>#REF!</v>
      </c>
      <c r="AJ41" s="209">
        <f t="shared" si="74"/>
        <v>0</v>
      </c>
      <c r="AK41" s="192">
        <f t="shared" si="66"/>
        <v>0</v>
      </c>
      <c r="AL41" s="198">
        <v>0</v>
      </c>
      <c r="AM41" s="198">
        <v>0</v>
      </c>
      <c r="AN41" s="199">
        <f t="shared" si="56"/>
        <v>0</v>
      </c>
      <c r="AO41" s="200">
        <f t="shared" si="75"/>
        <v>0</v>
      </c>
      <c r="AP41" s="200" t="e">
        <f t="shared" si="75"/>
        <v>#REF!</v>
      </c>
      <c r="AQ41" s="201">
        <f t="shared" si="75"/>
        <v>0</v>
      </c>
      <c r="AR41" s="183">
        <f t="shared" si="67"/>
        <v>0</v>
      </c>
      <c r="AS41" s="202">
        <v>0</v>
      </c>
      <c r="AT41" s="202">
        <v>0</v>
      </c>
      <c r="AU41" s="203">
        <f t="shared" si="57"/>
        <v>0</v>
      </c>
      <c r="AV41" s="1202">
        <f t="shared" si="18"/>
        <v>0</v>
      </c>
      <c r="AW41" s="210">
        <f t="shared" si="58"/>
        <v>0</v>
      </c>
      <c r="AX41" s="196" t="str">
        <f t="shared" si="7"/>
        <v/>
      </c>
      <c r="BB41" s="98">
        <f t="shared" si="59"/>
        <v>0</v>
      </c>
      <c r="BC41" s="968">
        <f t="shared" si="19"/>
        <v>0</v>
      </c>
      <c r="BF41" s="112" t="e">
        <f t="shared" si="68"/>
        <v>#REF!</v>
      </c>
      <c r="BG41" s="117" t="e">
        <f t="shared" si="60"/>
        <v>#REF!</v>
      </c>
      <c r="BH41" s="112" t="e">
        <f t="shared" si="61"/>
        <v>#REF!</v>
      </c>
      <c r="BI41" s="117" t="e">
        <f t="shared" si="62"/>
        <v>#REF!</v>
      </c>
      <c r="BJ41" s="98" t="e">
        <f t="shared" si="69"/>
        <v>#REF!</v>
      </c>
    </row>
    <row r="42" spans="1:62">
      <c r="A42" s="175">
        <v>2</v>
      </c>
      <c r="B42" s="195" t="s">
        <v>476</v>
      </c>
      <c r="C42" s="1203">
        <f t="shared" si="70"/>
        <v>950</v>
      </c>
      <c r="D42" s="1204">
        <v>1</v>
      </c>
      <c r="E42" s="196">
        <f t="shared" si="63"/>
        <v>0</v>
      </c>
      <c r="F42" s="197">
        <v>0</v>
      </c>
      <c r="G42" s="179">
        <f>IF(Setup!$L$8="No",0,J42+Q42+X42+AE42)</f>
        <v>0</v>
      </c>
      <c r="H42" s="179"/>
      <c r="I42" s="179">
        <f>IF(Sources!$D$10&gt;0,J42+Q42+X42+AE42,IF(Sources!$D$11&gt;0,H42,0))</f>
        <v>0</v>
      </c>
      <c r="J42" s="206">
        <v>0</v>
      </c>
      <c r="K42" s="206">
        <v>0</v>
      </c>
      <c r="L42" s="207">
        <f t="shared" si="51"/>
        <v>0</v>
      </c>
      <c r="M42" s="208">
        <f t="shared" si="71"/>
        <v>0</v>
      </c>
      <c r="N42" s="208" t="e">
        <f t="shared" si="71"/>
        <v>#REF!</v>
      </c>
      <c r="O42" s="209">
        <f t="shared" si="71"/>
        <v>0</v>
      </c>
      <c r="P42" s="209">
        <f t="shared" si="52"/>
        <v>0</v>
      </c>
      <c r="Q42" s="198">
        <v>0</v>
      </c>
      <c r="R42" s="198">
        <v>0</v>
      </c>
      <c r="S42" s="199">
        <f t="shared" si="53"/>
        <v>0</v>
      </c>
      <c r="T42" s="200">
        <f t="shared" si="72"/>
        <v>0</v>
      </c>
      <c r="U42" s="200" t="e">
        <f t="shared" si="72"/>
        <v>#REF!</v>
      </c>
      <c r="V42" s="201">
        <f t="shared" si="72"/>
        <v>0</v>
      </c>
      <c r="W42" s="184">
        <f t="shared" si="64"/>
        <v>0</v>
      </c>
      <c r="X42" s="202">
        <v>0</v>
      </c>
      <c r="Y42" s="202">
        <v>0</v>
      </c>
      <c r="Z42" s="203">
        <f t="shared" si="54"/>
        <v>0</v>
      </c>
      <c r="AA42" s="204">
        <f t="shared" si="73"/>
        <v>0</v>
      </c>
      <c r="AB42" s="204" t="e">
        <f t="shared" si="73"/>
        <v>#REF!</v>
      </c>
      <c r="AC42" s="205">
        <f t="shared" si="73"/>
        <v>0</v>
      </c>
      <c r="AD42" s="188">
        <f t="shared" si="65"/>
        <v>0</v>
      </c>
      <c r="AE42" s="206">
        <v>0</v>
      </c>
      <c r="AF42" s="206">
        <v>0</v>
      </c>
      <c r="AG42" s="207">
        <f t="shared" si="55"/>
        <v>0</v>
      </c>
      <c r="AH42" s="208">
        <f t="shared" si="74"/>
        <v>0</v>
      </c>
      <c r="AI42" s="208" t="e">
        <f t="shared" si="74"/>
        <v>#REF!</v>
      </c>
      <c r="AJ42" s="209">
        <f t="shared" si="74"/>
        <v>0</v>
      </c>
      <c r="AK42" s="192">
        <f t="shared" si="66"/>
        <v>0</v>
      </c>
      <c r="AL42" s="198">
        <v>0</v>
      </c>
      <c r="AM42" s="198">
        <v>0</v>
      </c>
      <c r="AN42" s="199">
        <f t="shared" si="56"/>
        <v>0</v>
      </c>
      <c r="AO42" s="200">
        <f t="shared" si="75"/>
        <v>0</v>
      </c>
      <c r="AP42" s="200" t="e">
        <f t="shared" si="75"/>
        <v>#REF!</v>
      </c>
      <c r="AQ42" s="201">
        <f t="shared" si="75"/>
        <v>0</v>
      </c>
      <c r="AR42" s="183">
        <f t="shared" si="67"/>
        <v>0</v>
      </c>
      <c r="AS42" s="202">
        <v>0</v>
      </c>
      <c r="AT42" s="202">
        <v>0</v>
      </c>
      <c r="AU42" s="203">
        <f t="shared" si="57"/>
        <v>0</v>
      </c>
      <c r="AV42" s="1202">
        <f t="shared" si="18"/>
        <v>0</v>
      </c>
      <c r="AW42" s="210">
        <f t="shared" si="58"/>
        <v>0</v>
      </c>
      <c r="AX42" s="196" t="str">
        <f t="shared" si="7"/>
        <v/>
      </c>
      <c r="BB42" s="98">
        <f t="shared" si="59"/>
        <v>0</v>
      </c>
      <c r="BC42" s="968">
        <f t="shared" si="19"/>
        <v>0</v>
      </c>
      <c r="BF42" s="112" t="e">
        <f t="shared" si="68"/>
        <v>#REF!</v>
      </c>
      <c r="BG42" s="117" t="e">
        <f t="shared" si="60"/>
        <v>#REF!</v>
      </c>
      <c r="BH42" s="112" t="e">
        <f t="shared" si="61"/>
        <v>#REF!</v>
      </c>
      <c r="BI42" s="117" t="e">
        <f t="shared" si="62"/>
        <v>#REF!</v>
      </c>
      <c r="BJ42" s="98" t="e">
        <f t="shared" si="69"/>
        <v>#REF!</v>
      </c>
    </row>
    <row r="43" spans="1:62">
      <c r="A43" s="175">
        <v>2</v>
      </c>
      <c r="B43" s="195" t="s">
        <v>477</v>
      </c>
      <c r="C43" s="1203">
        <f t="shared" si="70"/>
        <v>950</v>
      </c>
      <c r="D43" s="1204">
        <v>1</v>
      </c>
      <c r="E43" s="196">
        <f t="shared" si="63"/>
        <v>0</v>
      </c>
      <c r="F43" s="197">
        <v>0</v>
      </c>
      <c r="G43" s="179">
        <f>IF(Setup!$L$8="No",0,J43+Q43+X43+AE43)</f>
        <v>0</v>
      </c>
      <c r="H43" s="179"/>
      <c r="I43" s="179">
        <f>IF(Sources!$D$10&gt;0,J43+Q43+X43+AE43,IF(Sources!$D$11&gt;0,H43,0))</f>
        <v>0</v>
      </c>
      <c r="J43" s="206">
        <v>0</v>
      </c>
      <c r="K43" s="206">
        <v>0</v>
      </c>
      <c r="L43" s="207">
        <f t="shared" si="51"/>
        <v>0</v>
      </c>
      <c r="M43" s="208">
        <f t="shared" si="71"/>
        <v>0</v>
      </c>
      <c r="N43" s="208" t="e">
        <f t="shared" si="71"/>
        <v>#REF!</v>
      </c>
      <c r="O43" s="209">
        <f t="shared" si="71"/>
        <v>0</v>
      </c>
      <c r="P43" s="209">
        <f t="shared" si="52"/>
        <v>0</v>
      </c>
      <c r="Q43" s="198">
        <v>0</v>
      </c>
      <c r="R43" s="198">
        <v>0</v>
      </c>
      <c r="S43" s="199">
        <f t="shared" si="53"/>
        <v>0</v>
      </c>
      <c r="T43" s="200">
        <f t="shared" si="72"/>
        <v>0</v>
      </c>
      <c r="U43" s="200" t="e">
        <f t="shared" si="72"/>
        <v>#REF!</v>
      </c>
      <c r="V43" s="201">
        <f t="shared" si="72"/>
        <v>0</v>
      </c>
      <c r="W43" s="184">
        <f t="shared" si="64"/>
        <v>0</v>
      </c>
      <c r="X43" s="202">
        <v>0</v>
      </c>
      <c r="Y43" s="202">
        <v>0</v>
      </c>
      <c r="Z43" s="203">
        <f t="shared" si="54"/>
        <v>0</v>
      </c>
      <c r="AA43" s="204">
        <f t="shared" si="73"/>
        <v>0</v>
      </c>
      <c r="AB43" s="204" t="e">
        <f t="shared" si="73"/>
        <v>#REF!</v>
      </c>
      <c r="AC43" s="205">
        <f t="shared" si="73"/>
        <v>0</v>
      </c>
      <c r="AD43" s="188">
        <f t="shared" si="65"/>
        <v>0</v>
      </c>
      <c r="AE43" s="206">
        <v>0</v>
      </c>
      <c r="AF43" s="206">
        <v>0</v>
      </c>
      <c r="AG43" s="207">
        <f t="shared" si="55"/>
        <v>0</v>
      </c>
      <c r="AH43" s="208">
        <f t="shared" si="74"/>
        <v>0</v>
      </c>
      <c r="AI43" s="208" t="e">
        <f t="shared" si="74"/>
        <v>#REF!</v>
      </c>
      <c r="AJ43" s="209">
        <f t="shared" si="74"/>
        <v>0</v>
      </c>
      <c r="AK43" s="192">
        <f t="shared" si="66"/>
        <v>0</v>
      </c>
      <c r="AL43" s="198">
        <v>0</v>
      </c>
      <c r="AM43" s="198">
        <v>0</v>
      </c>
      <c r="AN43" s="199">
        <f t="shared" si="56"/>
        <v>0</v>
      </c>
      <c r="AO43" s="200">
        <f t="shared" si="75"/>
        <v>0</v>
      </c>
      <c r="AP43" s="200" t="e">
        <f t="shared" si="75"/>
        <v>#REF!</v>
      </c>
      <c r="AQ43" s="201">
        <f t="shared" si="75"/>
        <v>0</v>
      </c>
      <c r="AR43" s="183">
        <f t="shared" si="67"/>
        <v>0</v>
      </c>
      <c r="AS43" s="202">
        <v>0</v>
      </c>
      <c r="AT43" s="202">
        <v>0</v>
      </c>
      <c r="AU43" s="203">
        <f t="shared" si="57"/>
        <v>0</v>
      </c>
      <c r="AV43" s="1202">
        <f t="shared" si="18"/>
        <v>0</v>
      </c>
      <c r="AW43" s="210">
        <f t="shared" si="58"/>
        <v>0</v>
      </c>
      <c r="AX43" s="196" t="str">
        <f t="shared" si="7"/>
        <v/>
      </c>
      <c r="BB43" s="98">
        <f t="shared" si="59"/>
        <v>0</v>
      </c>
      <c r="BC43" s="968">
        <f t="shared" si="19"/>
        <v>0</v>
      </c>
      <c r="BF43" s="112" t="e">
        <f t="shared" si="68"/>
        <v>#REF!</v>
      </c>
      <c r="BG43" s="117" t="e">
        <f t="shared" si="60"/>
        <v>#REF!</v>
      </c>
      <c r="BH43" s="112" t="e">
        <f t="shared" si="61"/>
        <v>#REF!</v>
      </c>
      <c r="BI43" s="117" t="e">
        <f t="shared" si="62"/>
        <v>#REF!</v>
      </c>
      <c r="BJ43" s="98" t="e">
        <f t="shared" si="69"/>
        <v>#REF!</v>
      </c>
    </row>
    <row r="44" spans="1:62">
      <c r="A44" s="175">
        <v>2</v>
      </c>
      <c r="B44" s="195" t="s">
        <v>478</v>
      </c>
      <c r="C44" s="1203">
        <f t="shared" si="70"/>
        <v>950</v>
      </c>
      <c r="D44" s="1204">
        <v>1</v>
      </c>
      <c r="E44" s="196">
        <f t="shared" si="63"/>
        <v>0</v>
      </c>
      <c r="F44" s="197">
        <v>0</v>
      </c>
      <c r="G44" s="179">
        <f>IF(Setup!$L$8="No",0,J44+Q44+X44+AE44)</f>
        <v>0</v>
      </c>
      <c r="H44" s="179"/>
      <c r="I44" s="179">
        <f>IF(Sources!$D$10&gt;0,J44+Q44+X44+AE44,IF(Sources!$D$11&gt;0,H44,0))</f>
        <v>0</v>
      </c>
      <c r="J44" s="206">
        <v>0</v>
      </c>
      <c r="K44" s="206">
        <v>0</v>
      </c>
      <c r="L44" s="207">
        <f t="shared" si="51"/>
        <v>0</v>
      </c>
      <c r="M44" s="208">
        <f t="shared" si="71"/>
        <v>0</v>
      </c>
      <c r="N44" s="208" t="e">
        <f t="shared" si="71"/>
        <v>#REF!</v>
      </c>
      <c r="O44" s="209">
        <f t="shared" si="71"/>
        <v>0</v>
      </c>
      <c r="P44" s="209">
        <f t="shared" si="52"/>
        <v>0</v>
      </c>
      <c r="Q44" s="198">
        <v>0</v>
      </c>
      <c r="R44" s="198">
        <v>0</v>
      </c>
      <c r="S44" s="199">
        <f t="shared" si="53"/>
        <v>0</v>
      </c>
      <c r="T44" s="200">
        <f t="shared" si="72"/>
        <v>0</v>
      </c>
      <c r="U44" s="200" t="e">
        <f t="shared" si="72"/>
        <v>#REF!</v>
      </c>
      <c r="V44" s="201">
        <f t="shared" si="72"/>
        <v>0</v>
      </c>
      <c r="W44" s="184">
        <f t="shared" si="64"/>
        <v>0</v>
      </c>
      <c r="X44" s="202">
        <v>0</v>
      </c>
      <c r="Y44" s="202"/>
      <c r="Z44" s="203">
        <f t="shared" si="54"/>
        <v>0</v>
      </c>
      <c r="AA44" s="204">
        <f t="shared" si="73"/>
        <v>0</v>
      </c>
      <c r="AB44" s="204" t="e">
        <f t="shared" si="73"/>
        <v>#REF!</v>
      </c>
      <c r="AC44" s="205">
        <f t="shared" si="73"/>
        <v>0</v>
      </c>
      <c r="AD44" s="188">
        <f t="shared" si="65"/>
        <v>0</v>
      </c>
      <c r="AE44" s="206">
        <v>0</v>
      </c>
      <c r="AF44" s="206">
        <v>0</v>
      </c>
      <c r="AG44" s="207">
        <f t="shared" si="55"/>
        <v>0</v>
      </c>
      <c r="AH44" s="208">
        <f t="shared" si="74"/>
        <v>0</v>
      </c>
      <c r="AI44" s="208" t="e">
        <f t="shared" si="74"/>
        <v>#REF!</v>
      </c>
      <c r="AJ44" s="209">
        <f t="shared" si="74"/>
        <v>0</v>
      </c>
      <c r="AK44" s="192">
        <f t="shared" si="66"/>
        <v>0</v>
      </c>
      <c r="AL44" s="198">
        <v>0</v>
      </c>
      <c r="AM44" s="198">
        <v>0</v>
      </c>
      <c r="AN44" s="199">
        <f t="shared" si="56"/>
        <v>0</v>
      </c>
      <c r="AO44" s="200">
        <f t="shared" si="75"/>
        <v>0</v>
      </c>
      <c r="AP44" s="200" t="e">
        <f t="shared" si="75"/>
        <v>#REF!</v>
      </c>
      <c r="AQ44" s="201">
        <f t="shared" si="75"/>
        <v>0</v>
      </c>
      <c r="AR44" s="183">
        <f t="shared" si="67"/>
        <v>0</v>
      </c>
      <c r="AS44" s="202">
        <v>0</v>
      </c>
      <c r="AT44" s="202">
        <v>0</v>
      </c>
      <c r="AU44" s="203">
        <f t="shared" si="57"/>
        <v>0</v>
      </c>
      <c r="AV44" s="1202">
        <f t="shared" si="18"/>
        <v>0</v>
      </c>
      <c r="AW44" s="210">
        <f t="shared" si="58"/>
        <v>0</v>
      </c>
      <c r="AX44" s="196" t="str">
        <f t="shared" si="7"/>
        <v/>
      </c>
      <c r="BB44" s="98">
        <f t="shared" si="59"/>
        <v>0</v>
      </c>
      <c r="BC44" s="968">
        <f t="shared" si="19"/>
        <v>0</v>
      </c>
      <c r="BF44" s="112" t="e">
        <f t="shared" si="68"/>
        <v>#REF!</v>
      </c>
      <c r="BG44" s="117" t="e">
        <f t="shared" si="60"/>
        <v>#REF!</v>
      </c>
      <c r="BH44" s="112" t="e">
        <f t="shared" si="61"/>
        <v>#REF!</v>
      </c>
      <c r="BI44" s="117" t="e">
        <f t="shared" si="62"/>
        <v>#REF!</v>
      </c>
      <c r="BJ44" s="98" t="e">
        <f t="shared" si="69"/>
        <v>#REF!</v>
      </c>
    </row>
    <row r="45" spans="1:62">
      <c r="A45" s="175">
        <v>2</v>
      </c>
      <c r="B45" s="195" t="s">
        <v>479</v>
      </c>
      <c r="C45" s="1203">
        <f t="shared" si="70"/>
        <v>950</v>
      </c>
      <c r="D45" s="1204">
        <v>1</v>
      </c>
      <c r="E45" s="196">
        <f t="shared" si="63"/>
        <v>0</v>
      </c>
      <c r="F45" s="197">
        <v>0</v>
      </c>
      <c r="G45" s="179">
        <f>IF(Setup!$L$8="No",0,J45+Q45+X45+AE45)</f>
        <v>0</v>
      </c>
      <c r="H45" s="179"/>
      <c r="I45" s="179">
        <f>IF(Sources!$D$10&gt;0,J45+Q45+X45+AE45,IF(Sources!$D$11&gt;0,H45,0))</f>
        <v>0</v>
      </c>
      <c r="J45" s="206">
        <v>0</v>
      </c>
      <c r="K45" s="206">
        <v>0</v>
      </c>
      <c r="L45" s="207">
        <f t="shared" si="51"/>
        <v>0</v>
      </c>
      <c r="M45" s="208">
        <f t="shared" si="71"/>
        <v>0</v>
      </c>
      <c r="N45" s="208" t="e">
        <f t="shared" si="71"/>
        <v>#REF!</v>
      </c>
      <c r="O45" s="209">
        <f t="shared" si="71"/>
        <v>0</v>
      </c>
      <c r="P45" s="209">
        <f t="shared" si="52"/>
        <v>0</v>
      </c>
      <c r="Q45" s="198">
        <v>0</v>
      </c>
      <c r="R45" s="198">
        <v>0</v>
      </c>
      <c r="S45" s="199">
        <f t="shared" si="53"/>
        <v>0</v>
      </c>
      <c r="T45" s="200">
        <f t="shared" si="72"/>
        <v>0</v>
      </c>
      <c r="U45" s="200" t="e">
        <f t="shared" si="72"/>
        <v>#REF!</v>
      </c>
      <c r="V45" s="201">
        <f t="shared" si="72"/>
        <v>0</v>
      </c>
      <c r="W45" s="184">
        <f t="shared" si="64"/>
        <v>0</v>
      </c>
      <c r="X45" s="202">
        <v>0</v>
      </c>
      <c r="Y45" s="202"/>
      <c r="Z45" s="203">
        <f t="shared" si="54"/>
        <v>0</v>
      </c>
      <c r="AA45" s="204">
        <f t="shared" si="73"/>
        <v>0</v>
      </c>
      <c r="AB45" s="204" t="e">
        <f t="shared" si="73"/>
        <v>#REF!</v>
      </c>
      <c r="AC45" s="205">
        <f t="shared" si="73"/>
        <v>0</v>
      </c>
      <c r="AD45" s="188">
        <f t="shared" si="65"/>
        <v>0</v>
      </c>
      <c r="AE45" s="206">
        <v>0</v>
      </c>
      <c r="AF45" s="206">
        <v>0</v>
      </c>
      <c r="AG45" s="207">
        <f t="shared" si="55"/>
        <v>0</v>
      </c>
      <c r="AH45" s="208">
        <f t="shared" si="74"/>
        <v>0</v>
      </c>
      <c r="AI45" s="208" t="e">
        <f t="shared" si="74"/>
        <v>#REF!</v>
      </c>
      <c r="AJ45" s="209">
        <f t="shared" si="74"/>
        <v>0</v>
      </c>
      <c r="AK45" s="192">
        <f t="shared" si="66"/>
        <v>0</v>
      </c>
      <c r="AL45" s="198">
        <v>0</v>
      </c>
      <c r="AM45" s="198">
        <v>0</v>
      </c>
      <c r="AN45" s="199">
        <f t="shared" si="56"/>
        <v>0</v>
      </c>
      <c r="AO45" s="200">
        <f t="shared" si="75"/>
        <v>0</v>
      </c>
      <c r="AP45" s="200" t="e">
        <f t="shared" si="75"/>
        <v>#REF!</v>
      </c>
      <c r="AQ45" s="201">
        <f t="shared" si="75"/>
        <v>0</v>
      </c>
      <c r="AR45" s="183">
        <f t="shared" si="67"/>
        <v>0</v>
      </c>
      <c r="AS45" s="202">
        <v>0</v>
      </c>
      <c r="AT45" s="202">
        <v>0</v>
      </c>
      <c r="AU45" s="203">
        <f t="shared" si="57"/>
        <v>0</v>
      </c>
      <c r="AV45" s="1202">
        <f t="shared" si="18"/>
        <v>0</v>
      </c>
      <c r="AW45" s="210">
        <f t="shared" si="58"/>
        <v>0</v>
      </c>
      <c r="AX45" s="196" t="str">
        <f t="shared" si="7"/>
        <v/>
      </c>
      <c r="BB45" s="98">
        <f t="shared" si="59"/>
        <v>0</v>
      </c>
      <c r="BC45" s="968">
        <f t="shared" si="19"/>
        <v>0</v>
      </c>
      <c r="BF45" s="112" t="e">
        <f t="shared" si="68"/>
        <v>#REF!</v>
      </c>
      <c r="BG45" s="117" t="e">
        <f t="shared" si="60"/>
        <v>#REF!</v>
      </c>
      <c r="BH45" s="112" t="e">
        <f t="shared" si="61"/>
        <v>#REF!</v>
      </c>
      <c r="BI45" s="117" t="e">
        <f t="shared" si="62"/>
        <v>#REF!</v>
      </c>
      <c r="BJ45" s="98" t="e">
        <f t="shared" si="69"/>
        <v>#REF!</v>
      </c>
    </row>
    <row r="46" spans="1:62" hidden="1" outlineLevel="1">
      <c r="A46" s="175">
        <v>2</v>
      </c>
      <c r="B46" s="195" t="s">
        <v>480</v>
      </c>
      <c r="C46" s="1203">
        <f t="shared" si="70"/>
        <v>950</v>
      </c>
      <c r="D46" s="1204">
        <v>1</v>
      </c>
      <c r="E46" s="196">
        <f t="shared" si="63"/>
        <v>0</v>
      </c>
      <c r="F46" s="197">
        <v>0</v>
      </c>
      <c r="G46" s="179">
        <f>IF(Setup!$L$8="No",0,J46+Q46+X46+AE46)</f>
        <v>0</v>
      </c>
      <c r="H46" s="179"/>
      <c r="I46" s="179">
        <f>IF(Sources!$D$10&gt;0,J46+Q46+X46+AE46,IF(Sources!$D$11&gt;0,H46,0))</f>
        <v>0</v>
      </c>
      <c r="J46" s="206">
        <v>0</v>
      </c>
      <c r="K46" s="206">
        <v>0</v>
      </c>
      <c r="L46" s="207">
        <f t="shared" si="51"/>
        <v>0</v>
      </c>
      <c r="M46" s="208">
        <f t="shared" si="71"/>
        <v>0</v>
      </c>
      <c r="N46" s="208" t="e">
        <f t="shared" si="71"/>
        <v>#REF!</v>
      </c>
      <c r="O46" s="209">
        <f t="shared" si="71"/>
        <v>0</v>
      </c>
      <c r="P46" s="209">
        <f t="shared" si="52"/>
        <v>0</v>
      </c>
      <c r="Q46" s="198">
        <v>0</v>
      </c>
      <c r="R46" s="198">
        <v>0</v>
      </c>
      <c r="S46" s="199">
        <f t="shared" si="53"/>
        <v>0</v>
      </c>
      <c r="T46" s="200">
        <f t="shared" si="72"/>
        <v>0</v>
      </c>
      <c r="U46" s="200" t="e">
        <f t="shared" si="72"/>
        <v>#REF!</v>
      </c>
      <c r="V46" s="201">
        <f t="shared" si="72"/>
        <v>0</v>
      </c>
      <c r="W46" s="184">
        <f t="shared" si="64"/>
        <v>0</v>
      </c>
      <c r="X46" s="202">
        <v>0</v>
      </c>
      <c r="Y46" s="202"/>
      <c r="Z46" s="203">
        <f t="shared" si="54"/>
        <v>0</v>
      </c>
      <c r="AA46" s="204">
        <f t="shared" si="73"/>
        <v>0</v>
      </c>
      <c r="AB46" s="204" t="e">
        <f t="shared" si="73"/>
        <v>#REF!</v>
      </c>
      <c r="AC46" s="205">
        <f t="shared" si="73"/>
        <v>0</v>
      </c>
      <c r="AD46" s="188">
        <f t="shared" si="65"/>
        <v>0</v>
      </c>
      <c r="AE46" s="206">
        <v>0</v>
      </c>
      <c r="AF46" s="206">
        <v>0</v>
      </c>
      <c r="AG46" s="207">
        <f t="shared" si="55"/>
        <v>0</v>
      </c>
      <c r="AH46" s="208">
        <f t="shared" si="74"/>
        <v>0</v>
      </c>
      <c r="AI46" s="208" t="e">
        <f t="shared" si="74"/>
        <v>#REF!</v>
      </c>
      <c r="AJ46" s="209">
        <f t="shared" si="74"/>
        <v>0</v>
      </c>
      <c r="AK46" s="192">
        <f t="shared" si="66"/>
        <v>0</v>
      </c>
      <c r="AL46" s="198">
        <v>0</v>
      </c>
      <c r="AM46" s="198">
        <v>0</v>
      </c>
      <c r="AN46" s="199">
        <f t="shared" si="56"/>
        <v>0</v>
      </c>
      <c r="AO46" s="200">
        <f t="shared" si="75"/>
        <v>0</v>
      </c>
      <c r="AP46" s="200" t="e">
        <f t="shared" si="75"/>
        <v>#REF!</v>
      </c>
      <c r="AQ46" s="201">
        <f t="shared" si="75"/>
        <v>0</v>
      </c>
      <c r="AR46" s="183">
        <f t="shared" si="67"/>
        <v>0</v>
      </c>
      <c r="AS46" s="202">
        <v>0</v>
      </c>
      <c r="AT46" s="202">
        <v>0</v>
      </c>
      <c r="AU46" s="203">
        <f t="shared" si="57"/>
        <v>0</v>
      </c>
      <c r="AV46" s="1202">
        <f t="shared" si="18"/>
        <v>0</v>
      </c>
      <c r="AW46" s="210">
        <f t="shared" si="58"/>
        <v>0</v>
      </c>
      <c r="AX46" s="196" t="str">
        <f t="shared" si="7"/>
        <v/>
      </c>
      <c r="BB46" s="98">
        <f t="shared" si="59"/>
        <v>0</v>
      </c>
      <c r="BC46" s="968">
        <f t="shared" si="19"/>
        <v>0</v>
      </c>
      <c r="BF46" s="112" t="e">
        <f t="shared" si="68"/>
        <v>#REF!</v>
      </c>
      <c r="BG46" s="117" t="e">
        <f t="shared" si="60"/>
        <v>#REF!</v>
      </c>
      <c r="BH46" s="112" t="e">
        <f t="shared" si="61"/>
        <v>#REF!</v>
      </c>
      <c r="BI46" s="117" t="e">
        <f t="shared" si="62"/>
        <v>#REF!</v>
      </c>
      <c r="BJ46" s="98" t="e">
        <f t="shared" si="69"/>
        <v>#REF!</v>
      </c>
    </row>
    <row r="47" spans="1:62" hidden="1" outlineLevel="1">
      <c r="A47" s="175">
        <v>2</v>
      </c>
      <c r="B47" s="195" t="s">
        <v>481</v>
      </c>
      <c r="C47" s="1203">
        <f t="shared" si="70"/>
        <v>950</v>
      </c>
      <c r="D47" s="1204">
        <v>1</v>
      </c>
      <c r="E47" s="196">
        <f t="shared" si="63"/>
        <v>0</v>
      </c>
      <c r="F47" s="197">
        <v>0</v>
      </c>
      <c r="G47" s="179">
        <f>IF(Setup!$L$8="No",0,J47+Q47+X47+AE47)</f>
        <v>0</v>
      </c>
      <c r="H47" s="179"/>
      <c r="I47" s="179">
        <f>IF(Sources!$D$10&gt;0,J47+Q47+X47+AE47,IF(Sources!$D$11&gt;0,H47,0))</f>
        <v>0</v>
      </c>
      <c r="J47" s="206">
        <v>0</v>
      </c>
      <c r="K47" s="206">
        <v>0</v>
      </c>
      <c r="L47" s="207">
        <f t="shared" si="51"/>
        <v>0</v>
      </c>
      <c r="M47" s="208">
        <f t="shared" si="71"/>
        <v>0</v>
      </c>
      <c r="N47" s="208" t="e">
        <f t="shared" si="71"/>
        <v>#REF!</v>
      </c>
      <c r="O47" s="209">
        <f t="shared" si="71"/>
        <v>0</v>
      </c>
      <c r="P47" s="209">
        <f t="shared" si="52"/>
        <v>0</v>
      </c>
      <c r="Q47" s="198">
        <v>0</v>
      </c>
      <c r="R47" s="198">
        <v>0</v>
      </c>
      <c r="S47" s="199">
        <f t="shared" si="53"/>
        <v>0</v>
      </c>
      <c r="T47" s="200">
        <f t="shared" si="72"/>
        <v>0</v>
      </c>
      <c r="U47" s="200" t="e">
        <f t="shared" si="72"/>
        <v>#REF!</v>
      </c>
      <c r="V47" s="201">
        <f t="shared" si="72"/>
        <v>0</v>
      </c>
      <c r="W47" s="184">
        <f t="shared" si="64"/>
        <v>0</v>
      </c>
      <c r="X47" s="202">
        <v>0</v>
      </c>
      <c r="Y47" s="202"/>
      <c r="Z47" s="203">
        <f t="shared" si="54"/>
        <v>0</v>
      </c>
      <c r="AA47" s="204">
        <f t="shared" si="73"/>
        <v>0</v>
      </c>
      <c r="AB47" s="204" t="e">
        <f t="shared" si="73"/>
        <v>#REF!</v>
      </c>
      <c r="AC47" s="205">
        <f t="shared" si="73"/>
        <v>0</v>
      </c>
      <c r="AD47" s="188">
        <f t="shared" si="65"/>
        <v>0</v>
      </c>
      <c r="AE47" s="206">
        <v>0</v>
      </c>
      <c r="AF47" s="206">
        <v>0</v>
      </c>
      <c r="AG47" s="207">
        <f t="shared" si="55"/>
        <v>0</v>
      </c>
      <c r="AH47" s="208">
        <f t="shared" si="74"/>
        <v>0</v>
      </c>
      <c r="AI47" s="208" t="e">
        <f t="shared" si="74"/>
        <v>#REF!</v>
      </c>
      <c r="AJ47" s="209">
        <f t="shared" si="74"/>
        <v>0</v>
      </c>
      <c r="AK47" s="192">
        <f t="shared" si="66"/>
        <v>0</v>
      </c>
      <c r="AL47" s="198">
        <v>0</v>
      </c>
      <c r="AM47" s="198">
        <v>0</v>
      </c>
      <c r="AN47" s="199">
        <f t="shared" si="56"/>
        <v>0</v>
      </c>
      <c r="AO47" s="200">
        <f t="shared" si="75"/>
        <v>0</v>
      </c>
      <c r="AP47" s="200" t="e">
        <f t="shared" si="75"/>
        <v>#REF!</v>
      </c>
      <c r="AQ47" s="201">
        <f t="shared" si="75"/>
        <v>0</v>
      </c>
      <c r="AR47" s="183">
        <f t="shared" si="67"/>
        <v>0</v>
      </c>
      <c r="AS47" s="202">
        <v>0</v>
      </c>
      <c r="AT47" s="202">
        <v>0</v>
      </c>
      <c r="AU47" s="203">
        <f t="shared" si="57"/>
        <v>0</v>
      </c>
      <c r="AV47" s="1202">
        <f t="shared" si="18"/>
        <v>0</v>
      </c>
      <c r="AW47" s="210">
        <f t="shared" si="58"/>
        <v>0</v>
      </c>
      <c r="AX47" s="196" t="str">
        <f t="shared" si="7"/>
        <v/>
      </c>
      <c r="BB47" s="98">
        <f t="shared" si="59"/>
        <v>0</v>
      </c>
      <c r="BC47" s="968">
        <f t="shared" si="19"/>
        <v>0</v>
      </c>
      <c r="BF47" s="112" t="e">
        <f t="shared" si="68"/>
        <v>#REF!</v>
      </c>
      <c r="BG47" s="117" t="e">
        <f t="shared" si="60"/>
        <v>#REF!</v>
      </c>
      <c r="BH47" s="112" t="e">
        <f t="shared" si="61"/>
        <v>#REF!</v>
      </c>
      <c r="BI47" s="117" t="e">
        <f t="shared" si="62"/>
        <v>#REF!</v>
      </c>
      <c r="BJ47" s="98" t="e">
        <f t="shared" si="69"/>
        <v>#REF!</v>
      </c>
    </row>
    <row r="48" spans="1:62" hidden="1" outlineLevel="1">
      <c r="A48" s="175">
        <v>2</v>
      </c>
      <c r="B48" s="195" t="s">
        <v>482</v>
      </c>
      <c r="C48" s="1203">
        <f t="shared" si="70"/>
        <v>950</v>
      </c>
      <c r="D48" s="1204">
        <v>1</v>
      </c>
      <c r="E48" s="196">
        <f t="shared" si="63"/>
        <v>0</v>
      </c>
      <c r="F48" s="197">
        <v>0</v>
      </c>
      <c r="G48" s="179">
        <f>IF(Setup!$L$8="No",0,J48+Q48+X48+AE48)</f>
        <v>0</v>
      </c>
      <c r="H48" s="179"/>
      <c r="I48" s="179">
        <f>IF(Sources!$D$10&gt;0,J48+Q48+X48+AE48,IF(Sources!$D$11&gt;0,H48,0))</f>
        <v>0</v>
      </c>
      <c r="J48" s="206">
        <v>0</v>
      </c>
      <c r="K48" s="206">
        <v>0</v>
      </c>
      <c r="L48" s="207">
        <f t="shared" si="51"/>
        <v>0</v>
      </c>
      <c r="M48" s="208">
        <f t="shared" si="71"/>
        <v>0</v>
      </c>
      <c r="N48" s="208" t="e">
        <f t="shared" si="71"/>
        <v>#REF!</v>
      </c>
      <c r="O48" s="209">
        <f t="shared" si="71"/>
        <v>0</v>
      </c>
      <c r="P48" s="209">
        <f t="shared" si="52"/>
        <v>0</v>
      </c>
      <c r="Q48" s="198">
        <v>0</v>
      </c>
      <c r="R48" s="198">
        <v>0</v>
      </c>
      <c r="S48" s="199">
        <f t="shared" si="53"/>
        <v>0</v>
      </c>
      <c r="T48" s="200">
        <f t="shared" si="72"/>
        <v>0</v>
      </c>
      <c r="U48" s="200" t="e">
        <f t="shared" si="72"/>
        <v>#REF!</v>
      </c>
      <c r="V48" s="201">
        <f t="shared" si="72"/>
        <v>0</v>
      </c>
      <c r="W48" s="184">
        <f t="shared" si="64"/>
        <v>0</v>
      </c>
      <c r="X48" s="202">
        <v>0</v>
      </c>
      <c r="Y48" s="202"/>
      <c r="Z48" s="203">
        <f t="shared" si="54"/>
        <v>0</v>
      </c>
      <c r="AA48" s="204">
        <f t="shared" si="73"/>
        <v>0</v>
      </c>
      <c r="AB48" s="204" t="e">
        <f t="shared" si="73"/>
        <v>#REF!</v>
      </c>
      <c r="AC48" s="205">
        <f t="shared" si="73"/>
        <v>0</v>
      </c>
      <c r="AD48" s="188">
        <f t="shared" si="65"/>
        <v>0</v>
      </c>
      <c r="AE48" s="206">
        <v>0</v>
      </c>
      <c r="AF48" s="206">
        <v>0</v>
      </c>
      <c r="AG48" s="207">
        <f t="shared" si="55"/>
        <v>0</v>
      </c>
      <c r="AH48" s="208">
        <f t="shared" si="74"/>
        <v>0</v>
      </c>
      <c r="AI48" s="208" t="e">
        <f t="shared" si="74"/>
        <v>#REF!</v>
      </c>
      <c r="AJ48" s="209">
        <f t="shared" si="74"/>
        <v>0</v>
      </c>
      <c r="AK48" s="192">
        <f t="shared" si="66"/>
        <v>0</v>
      </c>
      <c r="AL48" s="198">
        <v>0</v>
      </c>
      <c r="AM48" s="198">
        <v>0</v>
      </c>
      <c r="AN48" s="199">
        <f t="shared" si="56"/>
        <v>0</v>
      </c>
      <c r="AO48" s="200">
        <f t="shared" si="75"/>
        <v>0</v>
      </c>
      <c r="AP48" s="200" t="e">
        <f t="shared" si="75"/>
        <v>#REF!</v>
      </c>
      <c r="AQ48" s="201">
        <f t="shared" si="75"/>
        <v>0</v>
      </c>
      <c r="AR48" s="183">
        <f t="shared" si="67"/>
        <v>0</v>
      </c>
      <c r="AS48" s="202">
        <v>0</v>
      </c>
      <c r="AT48" s="202">
        <v>0</v>
      </c>
      <c r="AU48" s="203">
        <f t="shared" si="57"/>
        <v>0</v>
      </c>
      <c r="AV48" s="1202">
        <f t="shared" si="18"/>
        <v>0</v>
      </c>
      <c r="AW48" s="210">
        <f t="shared" si="58"/>
        <v>0</v>
      </c>
      <c r="AX48" s="196" t="str">
        <f t="shared" si="7"/>
        <v/>
      </c>
      <c r="BB48" s="98">
        <f t="shared" si="59"/>
        <v>0</v>
      </c>
      <c r="BC48" s="968">
        <f t="shared" si="19"/>
        <v>0</v>
      </c>
      <c r="BF48" s="112" t="e">
        <f t="shared" si="68"/>
        <v>#REF!</v>
      </c>
      <c r="BG48" s="117" t="e">
        <f t="shared" si="60"/>
        <v>#REF!</v>
      </c>
      <c r="BH48" s="112" t="e">
        <f t="shared" si="61"/>
        <v>#REF!</v>
      </c>
      <c r="BI48" s="117" t="e">
        <f t="shared" si="62"/>
        <v>#REF!</v>
      </c>
      <c r="BJ48" s="98" t="e">
        <f t="shared" si="69"/>
        <v>#REF!</v>
      </c>
    </row>
    <row r="49" spans="1:62" hidden="1" outlineLevel="1">
      <c r="A49" s="175">
        <v>2</v>
      </c>
      <c r="B49" s="195" t="s">
        <v>483</v>
      </c>
      <c r="C49" s="1203">
        <f t="shared" si="70"/>
        <v>950</v>
      </c>
      <c r="D49" s="1204">
        <v>1</v>
      </c>
      <c r="E49" s="196">
        <f t="shared" si="63"/>
        <v>0</v>
      </c>
      <c r="F49" s="197">
        <v>0</v>
      </c>
      <c r="G49" s="179">
        <f>IF(Setup!$L$8="No",0,J49+Q49+X49+AE49)</f>
        <v>0</v>
      </c>
      <c r="H49" s="179"/>
      <c r="I49" s="179">
        <f>IF(Sources!$D$10&gt;0,J49+Q49+X49+AE49,IF(Sources!$D$11&gt;0,H49,0))</f>
        <v>0</v>
      </c>
      <c r="J49" s="206">
        <v>0</v>
      </c>
      <c r="K49" s="206">
        <v>0</v>
      </c>
      <c r="L49" s="207">
        <f t="shared" si="51"/>
        <v>0</v>
      </c>
      <c r="M49" s="208">
        <f t="shared" si="71"/>
        <v>0</v>
      </c>
      <c r="N49" s="208" t="e">
        <f t="shared" si="71"/>
        <v>#REF!</v>
      </c>
      <c r="O49" s="209">
        <f t="shared" si="71"/>
        <v>0</v>
      </c>
      <c r="P49" s="209">
        <f t="shared" si="52"/>
        <v>0</v>
      </c>
      <c r="Q49" s="198">
        <v>0</v>
      </c>
      <c r="R49" s="198">
        <v>0</v>
      </c>
      <c r="S49" s="199">
        <f t="shared" si="53"/>
        <v>0</v>
      </c>
      <c r="T49" s="200">
        <f t="shared" si="72"/>
        <v>0</v>
      </c>
      <c r="U49" s="200" t="e">
        <f t="shared" si="72"/>
        <v>#REF!</v>
      </c>
      <c r="V49" s="201">
        <f t="shared" si="72"/>
        <v>0</v>
      </c>
      <c r="W49" s="184">
        <f t="shared" si="64"/>
        <v>0</v>
      </c>
      <c r="X49" s="202">
        <v>0</v>
      </c>
      <c r="Y49" s="202"/>
      <c r="Z49" s="203">
        <f t="shared" si="54"/>
        <v>0</v>
      </c>
      <c r="AA49" s="204">
        <f t="shared" si="73"/>
        <v>0</v>
      </c>
      <c r="AB49" s="204" t="e">
        <f t="shared" si="73"/>
        <v>#REF!</v>
      </c>
      <c r="AC49" s="205">
        <f t="shared" si="73"/>
        <v>0</v>
      </c>
      <c r="AD49" s="188">
        <f t="shared" si="65"/>
        <v>0</v>
      </c>
      <c r="AE49" s="206">
        <v>0</v>
      </c>
      <c r="AF49" s="206">
        <v>0</v>
      </c>
      <c r="AG49" s="207">
        <f t="shared" si="55"/>
        <v>0</v>
      </c>
      <c r="AH49" s="208">
        <f t="shared" si="74"/>
        <v>0</v>
      </c>
      <c r="AI49" s="208" t="e">
        <f t="shared" si="74"/>
        <v>#REF!</v>
      </c>
      <c r="AJ49" s="209">
        <f t="shared" si="74"/>
        <v>0</v>
      </c>
      <c r="AK49" s="192">
        <f t="shared" si="66"/>
        <v>0</v>
      </c>
      <c r="AL49" s="198">
        <v>0</v>
      </c>
      <c r="AM49" s="198">
        <v>0</v>
      </c>
      <c r="AN49" s="199">
        <f t="shared" si="56"/>
        <v>0</v>
      </c>
      <c r="AO49" s="200">
        <f t="shared" si="75"/>
        <v>0</v>
      </c>
      <c r="AP49" s="200" t="e">
        <f t="shared" si="75"/>
        <v>#REF!</v>
      </c>
      <c r="AQ49" s="201">
        <f t="shared" si="75"/>
        <v>0</v>
      </c>
      <c r="AR49" s="183">
        <f t="shared" si="67"/>
        <v>0</v>
      </c>
      <c r="AS49" s="202">
        <v>0</v>
      </c>
      <c r="AT49" s="202">
        <v>0</v>
      </c>
      <c r="AU49" s="203">
        <f t="shared" si="57"/>
        <v>0</v>
      </c>
      <c r="AV49" s="1202">
        <f t="shared" si="18"/>
        <v>0</v>
      </c>
      <c r="AW49" s="210">
        <f t="shared" si="58"/>
        <v>0</v>
      </c>
      <c r="AX49" s="196" t="str">
        <f t="shared" si="7"/>
        <v/>
      </c>
      <c r="BB49" s="98">
        <f t="shared" si="59"/>
        <v>0</v>
      </c>
      <c r="BC49" s="968">
        <f t="shared" si="19"/>
        <v>0</v>
      </c>
      <c r="BF49" s="112" t="e">
        <f t="shared" si="68"/>
        <v>#REF!</v>
      </c>
      <c r="BG49" s="117" t="e">
        <f t="shared" si="60"/>
        <v>#REF!</v>
      </c>
      <c r="BH49" s="112" t="e">
        <f t="shared" si="61"/>
        <v>#REF!</v>
      </c>
      <c r="BI49" s="117" t="e">
        <f t="shared" si="62"/>
        <v>#REF!</v>
      </c>
      <c r="BJ49" s="98" t="e">
        <f t="shared" si="69"/>
        <v>#REF!</v>
      </c>
    </row>
    <row r="50" spans="1:62" hidden="1" outlineLevel="1">
      <c r="A50" s="175">
        <v>2</v>
      </c>
      <c r="B50" s="195" t="s">
        <v>484</v>
      </c>
      <c r="C50" s="1203">
        <f t="shared" si="70"/>
        <v>950</v>
      </c>
      <c r="D50" s="1204">
        <v>1</v>
      </c>
      <c r="E50" s="196">
        <f t="shared" si="63"/>
        <v>0</v>
      </c>
      <c r="F50" s="197">
        <v>0</v>
      </c>
      <c r="G50" s="179">
        <f>IF(Setup!$L$8="No",0,J50+Q50+X50+AE50)</f>
        <v>0</v>
      </c>
      <c r="H50" s="179"/>
      <c r="I50" s="179">
        <f>IF(Sources!$D$10&gt;0,J50+Q50+X50+AE50,IF(Sources!$D$11&gt;0,H50,0))</f>
        <v>0</v>
      </c>
      <c r="J50" s="206">
        <v>0</v>
      </c>
      <c r="K50" s="206">
        <v>0</v>
      </c>
      <c r="L50" s="207">
        <f t="shared" si="51"/>
        <v>0</v>
      </c>
      <c r="M50" s="208">
        <f t="shared" si="71"/>
        <v>0</v>
      </c>
      <c r="N50" s="208" t="e">
        <f t="shared" si="71"/>
        <v>#REF!</v>
      </c>
      <c r="O50" s="209">
        <f t="shared" si="71"/>
        <v>0</v>
      </c>
      <c r="P50" s="209">
        <f t="shared" si="52"/>
        <v>0</v>
      </c>
      <c r="Q50" s="198">
        <v>0</v>
      </c>
      <c r="R50" s="198">
        <v>0</v>
      </c>
      <c r="S50" s="199">
        <f t="shared" si="53"/>
        <v>0</v>
      </c>
      <c r="T50" s="200">
        <f t="shared" si="72"/>
        <v>0</v>
      </c>
      <c r="U50" s="200" t="e">
        <f t="shared" si="72"/>
        <v>#REF!</v>
      </c>
      <c r="V50" s="201">
        <f t="shared" si="72"/>
        <v>0</v>
      </c>
      <c r="W50" s="184">
        <f t="shared" si="64"/>
        <v>0</v>
      </c>
      <c r="X50" s="202">
        <v>0</v>
      </c>
      <c r="Y50" s="202"/>
      <c r="Z50" s="203">
        <f t="shared" si="54"/>
        <v>0</v>
      </c>
      <c r="AA50" s="204">
        <f t="shared" si="73"/>
        <v>0</v>
      </c>
      <c r="AB50" s="204" t="e">
        <f t="shared" si="73"/>
        <v>#REF!</v>
      </c>
      <c r="AC50" s="205">
        <f t="shared" si="73"/>
        <v>0</v>
      </c>
      <c r="AD50" s="188">
        <f t="shared" si="65"/>
        <v>0</v>
      </c>
      <c r="AE50" s="206">
        <v>0</v>
      </c>
      <c r="AF50" s="206">
        <v>0</v>
      </c>
      <c r="AG50" s="207">
        <f t="shared" si="55"/>
        <v>0</v>
      </c>
      <c r="AH50" s="208">
        <f t="shared" si="74"/>
        <v>0</v>
      </c>
      <c r="AI50" s="208" t="e">
        <f t="shared" si="74"/>
        <v>#REF!</v>
      </c>
      <c r="AJ50" s="209">
        <f t="shared" si="74"/>
        <v>0</v>
      </c>
      <c r="AK50" s="192">
        <f t="shared" si="66"/>
        <v>0</v>
      </c>
      <c r="AL50" s="198">
        <v>0</v>
      </c>
      <c r="AM50" s="198">
        <v>0</v>
      </c>
      <c r="AN50" s="199">
        <f t="shared" si="56"/>
        <v>0</v>
      </c>
      <c r="AO50" s="200">
        <f t="shared" si="75"/>
        <v>0</v>
      </c>
      <c r="AP50" s="200" t="e">
        <f t="shared" si="75"/>
        <v>#REF!</v>
      </c>
      <c r="AQ50" s="201">
        <f t="shared" si="75"/>
        <v>0</v>
      </c>
      <c r="AR50" s="183">
        <f t="shared" si="67"/>
        <v>0</v>
      </c>
      <c r="AS50" s="202">
        <v>0</v>
      </c>
      <c r="AT50" s="202">
        <v>0</v>
      </c>
      <c r="AU50" s="203">
        <f t="shared" si="57"/>
        <v>0</v>
      </c>
      <c r="AV50" s="1202">
        <f t="shared" si="18"/>
        <v>0</v>
      </c>
      <c r="AW50" s="210">
        <f t="shared" si="58"/>
        <v>0</v>
      </c>
      <c r="AX50" s="196" t="str">
        <f t="shared" si="7"/>
        <v/>
      </c>
      <c r="BB50" s="98">
        <f t="shared" si="59"/>
        <v>0</v>
      </c>
      <c r="BC50" s="968">
        <f t="shared" si="19"/>
        <v>0</v>
      </c>
      <c r="BF50" s="112" t="e">
        <f t="shared" si="68"/>
        <v>#REF!</v>
      </c>
      <c r="BG50" s="117" t="e">
        <f t="shared" si="60"/>
        <v>#REF!</v>
      </c>
      <c r="BH50" s="112" t="e">
        <f t="shared" si="61"/>
        <v>#REF!</v>
      </c>
      <c r="BI50" s="117" t="e">
        <f t="shared" si="62"/>
        <v>#REF!</v>
      </c>
      <c r="BJ50" s="98" t="e">
        <f t="shared" si="69"/>
        <v>#REF!</v>
      </c>
    </row>
    <row r="51" spans="1:62" s="219" customFormat="1" collapsed="1">
      <c r="A51" s="1205" t="s">
        <v>485</v>
      </c>
      <c r="B51" s="1206"/>
      <c r="C51" s="1206">
        <f>C38*AV38+AV39*C39+AV40*C40+AV41*C41+AV42*C42+AV43*C43+AV44*C44+AV45*C45+AV46*C46+AV47*C47+AV48*C48+AV49*C49+AV50*C50</f>
        <v>0</v>
      </c>
      <c r="D51" s="1206"/>
      <c r="E51" s="222"/>
      <c r="F51" s="1206">
        <f>SUM(F38:F50)</f>
        <v>0</v>
      </c>
      <c r="G51" s="1206">
        <f>SUM(G38:G50)</f>
        <v>0</v>
      </c>
      <c r="H51" s="1206">
        <f>SUM(H38:H50)</f>
        <v>0</v>
      </c>
      <c r="I51" s="1206">
        <f>SUM(I38:I50)</f>
        <v>0</v>
      </c>
      <c r="J51" s="211">
        <f>SUM(J38:J50)</f>
        <v>0</v>
      </c>
      <c r="K51" s="211">
        <f>K38*J38+K39*J39+K45*J45+K46*J46+K47*J47+K48*J48+K49*J49+K50*J50+K40*J40+K41*J41+K42*J42+K43*J43+K44*J44</f>
        <v>0</v>
      </c>
      <c r="L51" s="211"/>
      <c r="M51" s="212"/>
      <c r="N51" s="212"/>
      <c r="O51" s="212"/>
      <c r="P51" s="212"/>
      <c r="Q51" s="223">
        <f>SUM(Q38:Q50)</f>
        <v>0</v>
      </c>
      <c r="R51" s="223">
        <f>R38*Q38+R39*Q39+R45*Q45+R46*Q46+R47*Q47+R48*Q48+R49*Q49+R50*Q50+R40*Q40+R41*Q41+R42*Q42+R43*Q43+R44*Q44</f>
        <v>0</v>
      </c>
      <c r="S51" s="213"/>
      <c r="T51" s="214"/>
      <c r="U51" s="214"/>
      <c r="V51" s="214"/>
      <c r="W51" s="214"/>
      <c r="X51" s="215">
        <f>SUM(X38:X50)</f>
        <v>0</v>
      </c>
      <c r="Y51" s="215">
        <f>Y38*X38+Y39*X39+Y45*X45+Y46*X46+Y47*X47+Y48*X48+Y49*X49+Y50*X50+Y40*X40+Y41*X41+Y42*X42+Y43*X43+Y44*X44</f>
        <v>0</v>
      </c>
      <c r="Z51" s="215"/>
      <c r="AA51" s="216"/>
      <c r="AB51" s="216"/>
      <c r="AC51" s="216"/>
      <c r="AD51" s="216"/>
      <c r="AE51" s="211">
        <f>SUM(AE38:AE50)</f>
        <v>0</v>
      </c>
      <c r="AF51" s="211">
        <f>AF38*AE38+AF39*AE39+AF45*AE45+AF46*AE46+AF47*AE47+AF48*AE48+AF49*AE49+AF50*AE50+AF40*AE40+AF41*AE41+AF42*AE42+AF43*AE43+AF44*AE44</f>
        <v>0</v>
      </c>
      <c r="AG51" s="211"/>
      <c r="AH51" s="212"/>
      <c r="AI51" s="212"/>
      <c r="AJ51" s="212"/>
      <c r="AK51" s="212"/>
      <c r="AL51" s="213">
        <f>SUM(AL38:AL50)</f>
        <v>0</v>
      </c>
      <c r="AM51" s="213">
        <f>AM38*AL38+AM39*AL39+AM45*AL45+AM46*AL46+AM47*AL47+AM48*AL48+AM49*AL49+AM50*AL50+AM40*AL40+AM41*AL41+AM42*AL42+AM43*AL43+AM44*AL44</f>
        <v>0</v>
      </c>
      <c r="AN51" s="213"/>
      <c r="AO51" s="214"/>
      <c r="AP51" s="214"/>
      <c r="AQ51" s="214"/>
      <c r="AR51" s="214"/>
      <c r="AS51" s="215">
        <f>SUM(AS38:AS50)</f>
        <v>0</v>
      </c>
      <c r="AT51" s="215">
        <f>AT38*AS38+AT39*AS39+AT45*AS45+AT46*AS46+AT47*AS47+AT48*AS48+AT49*AS49+AT50*AS50+AT40*AS40+AT41*AS41+AT42*AS42+AT43*AS43+AT44*AS44</f>
        <v>0</v>
      </c>
      <c r="AU51" s="215"/>
      <c r="AV51" s="1202">
        <f t="shared" si="18"/>
        <v>0</v>
      </c>
      <c r="AW51" s="217">
        <f>AF51+AT51+Y51+R51+K51+AM51</f>
        <v>0</v>
      </c>
      <c r="AX51" s="1206" t="str">
        <f t="shared" si="7"/>
        <v/>
      </c>
      <c r="AY51" s="218"/>
      <c r="AZ51" s="218"/>
      <c r="BA51" s="218"/>
      <c r="BB51" s="1207">
        <f>SUM(BB38:BB50)</f>
        <v>0</v>
      </c>
      <c r="BC51" s="218">
        <f>SUM(BC38:BC50)</f>
        <v>0</v>
      </c>
      <c r="BD51" s="218"/>
      <c r="BE51" s="218"/>
      <c r="BF51" s="220"/>
      <c r="BG51" s="221"/>
      <c r="BH51" s="220"/>
      <c r="BI51" s="221"/>
      <c r="BJ51" s="1207"/>
    </row>
    <row r="52" spans="1:62">
      <c r="A52" s="175">
        <v>3</v>
      </c>
      <c r="B52" s="195" t="s">
        <v>486</v>
      </c>
      <c r="C52" s="1203">
        <v>1200</v>
      </c>
      <c r="D52" s="1204">
        <v>2</v>
      </c>
      <c r="E52" s="196">
        <f>Setup!P49</f>
        <v>0</v>
      </c>
      <c r="F52" s="197">
        <v>0</v>
      </c>
      <c r="G52" s="179">
        <f>IF(Setup!$L$8="No",0,J52+Q52+X52+AE52)+IF(Setup!$R$21="No",0,'Units&amp;Income'!AL52)</f>
        <v>0</v>
      </c>
      <c r="H52" s="179"/>
      <c r="I52" s="179">
        <f>IF(Sources!$D$10&gt;0,J52+Q52+X52+AE52,IF(Sources!$D$11&gt;0,H52,0))</f>
        <v>0</v>
      </c>
      <c r="J52" s="206">
        <v>0</v>
      </c>
      <c r="K52" s="206">
        <v>0</v>
      </c>
      <c r="L52" s="207">
        <f t="shared" ref="L52:L64" si="76">E52+K52</f>
        <v>0</v>
      </c>
      <c r="M52" s="1208">
        <f>IF($C$7=Max_Limits!$A$8,(Max_Limits!#REF!+Max_Limits!#REF!)/2/12*0.3*K$8,IF($C$7=Max_Limits!$A$9,(Max_Limits!$E$9+Max_Limits!$F$9)/2/12*0.3*K$8,IF('Units&amp;Income'!$C$7=Max_Limits!$A$10,(Max_Limits!$E$10+Max_Limits!$F$10)/2/12*0.3*K$8,IF('Units&amp;Income'!$C$7=Max_Limits!$A$11,(Max_Limits!$E$11+Max_Limits!$F$11)/2/12*0.3*K$8,IF('Units&amp;Income'!$C$7=Max_Limits!$A$12,(Max_Limits!$E$12+Max_Limits!$F$12)/2/12*0.3*K$8,IF('Units&amp;Income'!$C$7=Max_Limits!$A$13,(Max_Limits!$E$13+Max_Limits!$F$13)/2/12*0.3*K$8,IF($C$7=Max_Limits!$A$14,(Max_Limits!$E$14+Max_Limits!$F$14)/2/12*0.3*'Units&amp;Income'!K$8,IF('Units&amp;Income'!$C$7=Max_Limits!$A$15,(Max_Limits!$E$8+Max_Limits!$F$8)/2/12*0.3*'Units&amp;Income'!K$8,0))))))))</f>
        <v>0</v>
      </c>
      <c r="N52" s="208" t="e">
        <f>IF($C$7=Max_Limits!#REF!,Max_Limits!#REF!,IF($C$7=Max_Limits!#REF!,Max_Limits!#REF!,IF($C$7=Max_Limits!#REF!,Max_Limits!#REF!,IF($C$7=Max_Limits!#REF!,Max_Limits!#REF!,IF(D47=Max_Limits!#REF!,Max_Limits!#REF!,IF($C$7=Max_Limits!#REF!,Max_Limits!#REF!,IF($C$7=Max_Limits!#REF!,Max_Limits!#REF!, IF(D47=Max_Limits!#REF!,Max_Limits!#REF!,0))))))))</f>
        <v>#REF!</v>
      </c>
      <c r="O52" s="209">
        <f>IF(SUM($F$1:$F$2)=1,M52,IF(SUM($F$1:$F$2)=2,BF52, IF(SUM($F$1:$F$2)=3,N52,"None")))</f>
        <v>0</v>
      </c>
      <c r="P52" s="209">
        <f t="shared" ref="P52:P64" si="77">IF(O52="None",0,IF(K52&gt;0,O52-L52,0))</f>
        <v>0</v>
      </c>
      <c r="Q52" s="198">
        <v>0</v>
      </c>
      <c r="R52" s="198">
        <v>650</v>
      </c>
      <c r="S52" s="199">
        <f t="shared" ref="S52:S64" si="78">$E52+R52</f>
        <v>650</v>
      </c>
      <c r="T52" s="200">
        <f>IF($C$7=Max_Limits!$A$8,(Max_Limits!#REF!+Max_Limits!#REF!)/2/12*0.3*R$8,IF($C$7=Max_Limits!$A$9,(Max_Limits!$E$9+Max_Limits!$F$9)/2/12*0.3*R$8,IF('Units&amp;Income'!$C$7=Max_Limits!$A$10,(Max_Limits!$E$10+Max_Limits!$F$10)/2/12*0.3*R$8,IF('Units&amp;Income'!$C$7=Max_Limits!$A$11,(Max_Limits!$E$11+Max_Limits!$F$11)/2/12*0.3*R$8,IF('Units&amp;Income'!$C$7=Max_Limits!$A$12,(Max_Limits!$E$12+Max_Limits!$F$12)/2/12*0.3*R$8,IF('Units&amp;Income'!$C$7=Max_Limits!$A$13,(Max_Limits!$E$13+Max_Limits!$F$13)/2/12*0.3*R$8,IF($C$7=Max_Limits!$A$14,(Max_Limits!$E$14+Max_Limits!$F$14)/2/12*0.3*'Units&amp;Income'!R$8,IF('Units&amp;Income'!$C$7=Max_Limits!$A$15,(Max_Limits!$E$8+Max_Limits!$F$8)/2/12*0.3*'Units&amp;Income'!R$8,0))))))))</f>
        <v>0</v>
      </c>
      <c r="U52" s="200" t="e">
        <f>N52</f>
        <v>#REF!</v>
      </c>
      <c r="V52" s="201">
        <f>IF(SUM($F$1:$F$2)=1,T52,IF(SUM($F$1:$F$2)=2,BG52, IF(SUM($F$1:$F$2)=3,U52,"None")))</f>
        <v>0</v>
      </c>
      <c r="W52" s="184">
        <f>IF(V52="None",0,IF(R52&gt;0,V52-S52,0))</f>
        <v>-650</v>
      </c>
      <c r="X52" s="202">
        <v>0</v>
      </c>
      <c r="Y52" s="206">
        <v>0</v>
      </c>
      <c r="Z52" s="203">
        <f t="shared" ref="Z52:Z64" si="79">$E52+Y52</f>
        <v>0</v>
      </c>
      <c r="AA52" s="204">
        <f>IF($C$7=Max_Limits!$A$8,(Max_Limits!#REF!+Max_Limits!#REF!)/2/12*0.3*Y$8,IF($C$7=Max_Limits!$A$9,(Max_Limits!$E$9+Max_Limits!$F$9)/2/12*0.3*Y$8,IF('Units&amp;Income'!$C$7=Max_Limits!$A$10,(Max_Limits!$E$10+Max_Limits!$F$10)/2/12*0.3*Y$8,IF('Units&amp;Income'!$C$7=Max_Limits!$A$11,(Max_Limits!$E$11+Max_Limits!$F$11)/2/12*0.3*Y$8,IF('Units&amp;Income'!$C$7=Max_Limits!$A$12,(Max_Limits!$E$12+Max_Limits!$F$12)/2/12*0.3*Y$8,IF('Units&amp;Income'!$C$7=Max_Limits!$A$13,(Max_Limits!$E$13+Max_Limits!$F$13)/2/12*0.3*Y$8,IF($C$7=Max_Limits!$A$14,(Max_Limits!$E$14+Max_Limits!$F$14)/2/12*0.3*'Units&amp;Income'!Y$8,IF('Units&amp;Income'!$C$7=Max_Limits!$A$15,(Max_Limits!$E$8+Max_Limits!$F$8)/2/12*0.3*'Units&amp;Income'!Y$8,0))))))))</f>
        <v>0</v>
      </c>
      <c r="AB52" s="204" t="e">
        <f>U52</f>
        <v>#REF!</v>
      </c>
      <c r="AC52" s="205">
        <f>IF(SUM($F$1:$F$2)=1,AA52,IF(SUM($F$1:$F$2)=2,BH52, IF(SUM($F$1:$F$2)=3,AB52,"None")))</f>
        <v>0</v>
      </c>
      <c r="AD52" s="188">
        <f>IF(AC52="None",0,IF(Y52&gt;0,AC52-Z52,0))</f>
        <v>0</v>
      </c>
      <c r="AE52" s="206">
        <v>0</v>
      </c>
      <c r="AF52" s="206">
        <v>0</v>
      </c>
      <c r="AG52" s="207">
        <f t="shared" ref="AG52:AG64" si="80">$E52+AF52</f>
        <v>0</v>
      </c>
      <c r="AH52" s="208">
        <f>IF($C$7=Max_Limits!$A$8,(Max_Limits!#REF!+Max_Limits!#REF!)/2/12*0.3*AF$8,IF($C$7=Max_Limits!$A$9,(Max_Limits!$E$9+Max_Limits!$F$9)/2/12*0.3*AF$8,IF('Units&amp;Income'!$C$7=Max_Limits!$A$10,(Max_Limits!$E$10+Max_Limits!$F$10)/2/12*0.3*AF$8,IF('Units&amp;Income'!$C$7=Max_Limits!$A$11,(Max_Limits!$E$11+Max_Limits!$F$11)/2/12*0.3*AF$8,IF('Units&amp;Income'!$C$7=Max_Limits!$A$12,(Max_Limits!$E$12+Max_Limits!$F$12)/2/12*0.3*AF$8,IF('Units&amp;Income'!$C$7=Max_Limits!$A$13,(Max_Limits!$E$13+Max_Limits!$F$13)/2/12*0.3*AF$8,IF($C$7=Max_Limits!$A$14,(Max_Limits!$E$14+Max_Limits!$F$14)/2/12*0.3*'Units&amp;Income'!AF$8,IF('Units&amp;Income'!$C$7=Max_Limits!$A$15,(Max_Limits!$E$8+Max_Limits!$F$8)/2/12*0.3*'Units&amp;Income'!AF$8,0))))))))</f>
        <v>0</v>
      </c>
      <c r="AI52" s="208" t="e">
        <f>AB52</f>
        <v>#REF!</v>
      </c>
      <c r="AJ52" s="209">
        <f>IF(SUM($F$1:$F$2)=1,AH52,IF(SUM($F$1:$F$2)=2,BI52, IF(SUM($F$1:$F$2)=3,AI52,"None")))</f>
        <v>0</v>
      </c>
      <c r="AK52" s="192">
        <f>IF(AJ52="None",0,IF(AF52&gt;0,AJ52-AG52,0))</f>
        <v>0</v>
      </c>
      <c r="AL52" s="198">
        <v>0</v>
      </c>
      <c r="AM52" s="206">
        <v>0</v>
      </c>
      <c r="AN52" s="199">
        <f t="shared" ref="AN52:AN64" si="81">$E52+AM52</f>
        <v>0</v>
      </c>
      <c r="AO52" s="200">
        <f>IF($C$7=Max_Limits!$A$8,(Max_Limits!#REF!+Max_Limits!#REF!)/2/12*0.3*AM$8,IF($C$7=Max_Limits!$A$9,(Max_Limits!$E$9+Max_Limits!$F$9)/2/12*0.3*AM$8,IF('Units&amp;Income'!$C$7=Max_Limits!$A$10,(Max_Limits!$E$10+Max_Limits!$F$10)/2/12*0.3*AM$8,IF('Units&amp;Income'!$C$7=Max_Limits!$A$11,(Max_Limits!$E$11+Max_Limits!$F$11)/2/12*0.3*AM$8,IF('Units&amp;Income'!$C$7=Max_Limits!$A$12,(Max_Limits!$E$12+Max_Limits!$F$12)/2/12*0.3*AM$8,IF('Units&amp;Income'!$C$7=Max_Limits!$A$13,(Max_Limits!$E$13+Max_Limits!$F$13)/2/12*0.3*AM$8,IF($C$7=Max_Limits!$A$14,(Max_Limits!$E$14+Max_Limits!$F$14)/2/12*0.3*'Units&amp;Income'!AM$8,IF('Units&amp;Income'!$C$7=Max_Limits!$A$15,(Max_Limits!$E$8+Max_Limits!$F$8)/2/12*0.3*'Units&amp;Income'!AM$8,0))))))))</f>
        <v>0</v>
      </c>
      <c r="AP52" s="200" t="e">
        <f>AI52</f>
        <v>#REF!</v>
      </c>
      <c r="AQ52" s="201">
        <f>IF(SUM($F$1:$F$2)=1,AO52,IF(SUM($F$1:$F$2)=2,BJ52, IF(SUM($F$1:$F$2)=3,AP52,"None")))</f>
        <v>0</v>
      </c>
      <c r="AR52" s="183">
        <f>IF(AQ52="None",0,IF(AM52&gt;0,AQ52-AN52,0))</f>
        <v>0</v>
      </c>
      <c r="AS52" s="202">
        <v>0</v>
      </c>
      <c r="AT52" s="202">
        <v>0</v>
      </c>
      <c r="AU52" s="203">
        <f t="shared" ref="AU52:AU64" si="82">$E52+AT52</f>
        <v>0</v>
      </c>
      <c r="AV52" s="1202">
        <f t="shared" si="18"/>
        <v>0</v>
      </c>
      <c r="AW52" s="210">
        <f t="shared" ref="AW52:AW64" si="83">J52*K52+Q52*R52+X52*Y52+AE52*AF52+AS52*AT52</f>
        <v>0</v>
      </c>
      <c r="AX52" s="196" t="str">
        <f t="shared" si="7"/>
        <v/>
      </c>
      <c r="BB52" s="98">
        <f t="shared" ref="BB52:BB64" si="84">G52*C52</f>
        <v>0</v>
      </c>
      <c r="BC52" s="968">
        <f t="shared" si="19"/>
        <v>0</v>
      </c>
      <c r="BF52" s="112" t="e">
        <f>IF(M52&gt;N52,N52,M52)</f>
        <v>#REF!</v>
      </c>
      <c r="BG52" s="117" t="e">
        <f t="shared" ref="BG52:BG64" si="85">IF(T52&gt;U52,U52,T52)</f>
        <v>#REF!</v>
      </c>
      <c r="BH52" s="112" t="e">
        <f t="shared" ref="BH52:BH64" si="86">IF(AA52&gt;AB52,AB52,AA52)</f>
        <v>#REF!</v>
      </c>
      <c r="BI52" s="117" t="e">
        <f t="shared" ref="BI52:BI64" si="87">IF(AH52&gt;AI52,AI52,AH52)</f>
        <v>#REF!</v>
      </c>
      <c r="BJ52" s="98" t="e">
        <f>IF(AO52&gt;AP52,AP52,AO52)</f>
        <v>#REF!</v>
      </c>
    </row>
    <row r="53" spans="1:62">
      <c r="A53" s="175">
        <v>3</v>
      </c>
      <c r="B53" s="195" t="s">
        <v>487</v>
      </c>
      <c r="C53" s="1203">
        <f t="shared" ref="C53:C64" si="88">C52</f>
        <v>1200</v>
      </c>
      <c r="D53" s="1204">
        <v>2</v>
      </c>
      <c r="E53" s="196">
        <f t="shared" ref="E53:E64" si="89">E52</f>
        <v>0</v>
      </c>
      <c r="F53" s="197">
        <v>0</v>
      </c>
      <c r="G53" s="179">
        <f>IF(Setup!$L$8="No",0,J53+Q53+X53+AE53)+IF(Setup!$R$21="No",0,'Units&amp;Income'!AL53)</f>
        <v>0</v>
      </c>
      <c r="H53" s="179"/>
      <c r="I53" s="179">
        <f>IF(Sources!$D$10&gt;0,J53+Q53+X53+AE53,IF(Sources!$D$11&gt;0,H53,0))</f>
        <v>0</v>
      </c>
      <c r="J53" s="206">
        <v>0</v>
      </c>
      <c r="K53" s="206">
        <v>0</v>
      </c>
      <c r="L53" s="207">
        <f t="shared" si="76"/>
        <v>0</v>
      </c>
      <c r="M53" s="208">
        <f>M52</f>
        <v>0</v>
      </c>
      <c r="N53" s="208" t="e">
        <f>N52</f>
        <v>#REF!</v>
      </c>
      <c r="O53" s="209">
        <f>O52</f>
        <v>0</v>
      </c>
      <c r="P53" s="209">
        <f t="shared" si="77"/>
        <v>0</v>
      </c>
      <c r="Q53" s="198">
        <v>0</v>
      </c>
      <c r="R53" s="198">
        <v>700</v>
      </c>
      <c r="S53" s="199">
        <f t="shared" si="78"/>
        <v>700</v>
      </c>
      <c r="T53" s="200">
        <f>T52</f>
        <v>0</v>
      </c>
      <c r="U53" s="200" t="e">
        <f>U52</f>
        <v>#REF!</v>
      </c>
      <c r="V53" s="201">
        <f>V52</f>
        <v>0</v>
      </c>
      <c r="W53" s="184">
        <f t="shared" ref="W53:W64" si="90">IF(V53="None",0,IF(R53&gt;0,V53-S53,0))</f>
        <v>-700</v>
      </c>
      <c r="X53" s="202">
        <v>0</v>
      </c>
      <c r="Y53" s="206">
        <v>0</v>
      </c>
      <c r="Z53" s="203">
        <f t="shared" si="79"/>
        <v>0</v>
      </c>
      <c r="AA53" s="204">
        <f>AA52</f>
        <v>0</v>
      </c>
      <c r="AB53" s="204" t="e">
        <f>AB52</f>
        <v>#REF!</v>
      </c>
      <c r="AC53" s="205">
        <f>AC52</f>
        <v>0</v>
      </c>
      <c r="AD53" s="188">
        <f t="shared" ref="AD53:AD64" si="91">IF(AC53="None",0,IF(Y53&gt;0,AC53-Z53,0))</f>
        <v>0</v>
      </c>
      <c r="AE53" s="206">
        <v>0</v>
      </c>
      <c r="AF53" s="206">
        <v>0</v>
      </c>
      <c r="AG53" s="207">
        <f t="shared" si="80"/>
        <v>0</v>
      </c>
      <c r="AH53" s="208">
        <f>AH52</f>
        <v>0</v>
      </c>
      <c r="AI53" s="208" t="e">
        <f>AI52</f>
        <v>#REF!</v>
      </c>
      <c r="AJ53" s="209">
        <f>AJ52</f>
        <v>0</v>
      </c>
      <c r="AK53" s="192">
        <f t="shared" ref="AK53:AK64" si="92">IF(AJ53="None",0,IF(AF53&gt;0,AJ53-AG53,0))</f>
        <v>0</v>
      </c>
      <c r="AL53" s="198">
        <v>0</v>
      </c>
      <c r="AM53" s="206">
        <v>0</v>
      </c>
      <c r="AN53" s="199">
        <f t="shared" si="81"/>
        <v>0</v>
      </c>
      <c r="AO53" s="200">
        <f>AO52</f>
        <v>0</v>
      </c>
      <c r="AP53" s="200" t="e">
        <f>AP52</f>
        <v>#REF!</v>
      </c>
      <c r="AQ53" s="201">
        <f>AQ52</f>
        <v>0</v>
      </c>
      <c r="AR53" s="183">
        <f t="shared" ref="AR53:AR64" si="93">IF(AQ53="None",0,IF(AM53&gt;0,AQ53-AN53,0))</f>
        <v>0</v>
      </c>
      <c r="AS53" s="202">
        <v>0</v>
      </c>
      <c r="AT53" s="202">
        <v>0</v>
      </c>
      <c r="AU53" s="203">
        <f t="shared" si="82"/>
        <v>0</v>
      </c>
      <c r="AV53" s="1202">
        <f t="shared" si="18"/>
        <v>0</v>
      </c>
      <c r="AW53" s="210">
        <f t="shared" si="83"/>
        <v>0</v>
      </c>
      <c r="AX53" s="196" t="str">
        <f t="shared" si="7"/>
        <v/>
      </c>
      <c r="BB53" s="98">
        <f t="shared" si="84"/>
        <v>0</v>
      </c>
      <c r="BC53" s="968">
        <f t="shared" si="19"/>
        <v>0</v>
      </c>
      <c r="BF53" s="112" t="e">
        <f t="shared" ref="BF53:BF64" si="94">IF(M53&gt;N53,N53,M53)</f>
        <v>#REF!</v>
      </c>
      <c r="BG53" s="117" t="e">
        <f t="shared" si="85"/>
        <v>#REF!</v>
      </c>
      <c r="BH53" s="112" t="e">
        <f t="shared" si="86"/>
        <v>#REF!</v>
      </c>
      <c r="BI53" s="117" t="e">
        <f t="shared" si="87"/>
        <v>#REF!</v>
      </c>
      <c r="BJ53" s="98" t="e">
        <f t="shared" ref="BJ53:BJ64" si="95">IF(AO53&gt;AP53,AP53,AO53)</f>
        <v>#REF!</v>
      </c>
    </row>
    <row r="54" spans="1:62">
      <c r="A54" s="175">
        <v>3</v>
      </c>
      <c r="B54" s="195" t="s">
        <v>488</v>
      </c>
      <c r="C54" s="1203">
        <f t="shared" si="88"/>
        <v>1200</v>
      </c>
      <c r="D54" s="1204">
        <v>2</v>
      </c>
      <c r="E54" s="196">
        <f t="shared" si="89"/>
        <v>0</v>
      </c>
      <c r="F54" s="197">
        <v>0</v>
      </c>
      <c r="G54" s="179">
        <f>IF(Setup!$L$8="No",0,J54+Q54+X54+AE54)+IF(Setup!$R$21="No",0,'Units&amp;Income'!AL54)</f>
        <v>0</v>
      </c>
      <c r="H54" s="179"/>
      <c r="I54" s="179">
        <f>IF(Sources!$D$10&gt;0,J54+Q54+X54+AE54,IF(Sources!$D$11&gt;0,H54,0))</f>
        <v>0</v>
      </c>
      <c r="J54" s="206">
        <v>0</v>
      </c>
      <c r="K54" s="206">
        <v>0</v>
      </c>
      <c r="L54" s="207">
        <f t="shared" si="76"/>
        <v>0</v>
      </c>
      <c r="M54" s="208">
        <f t="shared" ref="M54:O64" si="96">M53</f>
        <v>0</v>
      </c>
      <c r="N54" s="208" t="e">
        <f t="shared" si="96"/>
        <v>#REF!</v>
      </c>
      <c r="O54" s="209">
        <f t="shared" si="96"/>
        <v>0</v>
      </c>
      <c r="P54" s="209">
        <f t="shared" si="77"/>
        <v>0</v>
      </c>
      <c r="Q54" s="198">
        <v>0</v>
      </c>
      <c r="R54" s="198">
        <v>0</v>
      </c>
      <c r="S54" s="199">
        <f t="shared" si="78"/>
        <v>0</v>
      </c>
      <c r="T54" s="200">
        <f t="shared" ref="T54:V64" si="97">T53</f>
        <v>0</v>
      </c>
      <c r="U54" s="200" t="e">
        <f t="shared" si="97"/>
        <v>#REF!</v>
      </c>
      <c r="V54" s="201">
        <f t="shared" si="97"/>
        <v>0</v>
      </c>
      <c r="W54" s="184">
        <f t="shared" si="90"/>
        <v>0</v>
      </c>
      <c r="X54" s="202">
        <v>0</v>
      </c>
      <c r="Y54" s="202"/>
      <c r="Z54" s="203">
        <f t="shared" si="79"/>
        <v>0</v>
      </c>
      <c r="AA54" s="204">
        <f t="shared" ref="AA54:AC64" si="98">AA53</f>
        <v>0</v>
      </c>
      <c r="AB54" s="204" t="e">
        <f t="shared" si="98"/>
        <v>#REF!</v>
      </c>
      <c r="AC54" s="205">
        <f t="shared" si="98"/>
        <v>0</v>
      </c>
      <c r="AD54" s="188">
        <f t="shared" si="91"/>
        <v>0</v>
      </c>
      <c r="AE54" s="206">
        <v>0</v>
      </c>
      <c r="AF54" s="206">
        <v>0</v>
      </c>
      <c r="AG54" s="207">
        <f t="shared" si="80"/>
        <v>0</v>
      </c>
      <c r="AH54" s="208">
        <f t="shared" ref="AH54:AJ64" si="99">AH53</f>
        <v>0</v>
      </c>
      <c r="AI54" s="208" t="e">
        <f t="shared" si="99"/>
        <v>#REF!</v>
      </c>
      <c r="AJ54" s="209">
        <f t="shared" si="99"/>
        <v>0</v>
      </c>
      <c r="AK54" s="192">
        <f t="shared" si="92"/>
        <v>0</v>
      </c>
      <c r="AL54" s="198">
        <v>0</v>
      </c>
      <c r="AM54" s="198">
        <v>0</v>
      </c>
      <c r="AN54" s="199">
        <f t="shared" si="81"/>
        <v>0</v>
      </c>
      <c r="AO54" s="200">
        <f t="shared" ref="AO54:AQ64" si="100">AO53</f>
        <v>0</v>
      </c>
      <c r="AP54" s="200" t="e">
        <f t="shared" si="100"/>
        <v>#REF!</v>
      </c>
      <c r="AQ54" s="201">
        <f t="shared" si="100"/>
        <v>0</v>
      </c>
      <c r="AR54" s="183">
        <f t="shared" si="93"/>
        <v>0</v>
      </c>
      <c r="AS54" s="202">
        <v>0</v>
      </c>
      <c r="AT54" s="202">
        <v>0</v>
      </c>
      <c r="AU54" s="203">
        <f t="shared" si="82"/>
        <v>0</v>
      </c>
      <c r="AV54" s="1202">
        <f t="shared" si="18"/>
        <v>0</v>
      </c>
      <c r="AW54" s="210">
        <f t="shared" si="83"/>
        <v>0</v>
      </c>
      <c r="AX54" s="196" t="str">
        <f t="shared" si="7"/>
        <v/>
      </c>
      <c r="BB54" s="98">
        <f t="shared" si="84"/>
        <v>0</v>
      </c>
      <c r="BC54" s="968">
        <f t="shared" si="19"/>
        <v>0</v>
      </c>
      <c r="BF54" s="112" t="e">
        <f t="shared" si="94"/>
        <v>#REF!</v>
      </c>
      <c r="BG54" s="117" t="e">
        <f t="shared" si="85"/>
        <v>#REF!</v>
      </c>
      <c r="BH54" s="112" t="e">
        <f t="shared" si="86"/>
        <v>#REF!</v>
      </c>
      <c r="BI54" s="117" t="e">
        <f t="shared" si="87"/>
        <v>#REF!</v>
      </c>
      <c r="BJ54" s="98" t="e">
        <f t="shared" si="95"/>
        <v>#REF!</v>
      </c>
    </row>
    <row r="55" spans="1:62">
      <c r="A55" s="175">
        <v>3</v>
      </c>
      <c r="B55" s="195" t="s">
        <v>489</v>
      </c>
      <c r="C55" s="1203">
        <f t="shared" si="88"/>
        <v>1200</v>
      </c>
      <c r="D55" s="1204">
        <v>2</v>
      </c>
      <c r="E55" s="196">
        <f t="shared" si="89"/>
        <v>0</v>
      </c>
      <c r="F55" s="197">
        <v>0</v>
      </c>
      <c r="G55" s="179">
        <f>IF(Setup!$L$8="No",0,J55+Q55+X55+AE55)+IF(Setup!$R$21="No",0,'Units&amp;Income'!AL55)</f>
        <v>0</v>
      </c>
      <c r="H55" s="179"/>
      <c r="I55" s="179">
        <f>IF(Sources!$D$10&gt;0,J55+Q55+X55+AE55,IF(Sources!$D$11&gt;0,H55,0))</f>
        <v>0</v>
      </c>
      <c r="J55" s="206">
        <v>0</v>
      </c>
      <c r="K55" s="206">
        <v>0</v>
      </c>
      <c r="L55" s="207">
        <f t="shared" si="76"/>
        <v>0</v>
      </c>
      <c r="M55" s="208">
        <f t="shared" si="96"/>
        <v>0</v>
      </c>
      <c r="N55" s="208" t="e">
        <f t="shared" si="96"/>
        <v>#REF!</v>
      </c>
      <c r="O55" s="209">
        <f t="shared" si="96"/>
        <v>0</v>
      </c>
      <c r="P55" s="209">
        <f t="shared" si="77"/>
        <v>0</v>
      </c>
      <c r="Q55" s="198">
        <v>0</v>
      </c>
      <c r="R55" s="198">
        <v>0</v>
      </c>
      <c r="S55" s="199">
        <f t="shared" si="78"/>
        <v>0</v>
      </c>
      <c r="T55" s="200">
        <f t="shared" si="97"/>
        <v>0</v>
      </c>
      <c r="U55" s="200" t="e">
        <f t="shared" si="97"/>
        <v>#REF!</v>
      </c>
      <c r="V55" s="201">
        <f t="shared" si="97"/>
        <v>0</v>
      </c>
      <c r="W55" s="184">
        <f t="shared" si="90"/>
        <v>0</v>
      </c>
      <c r="X55" s="202">
        <v>0</v>
      </c>
      <c r="Y55" s="202">
        <v>0</v>
      </c>
      <c r="Z55" s="203">
        <f t="shared" si="79"/>
        <v>0</v>
      </c>
      <c r="AA55" s="204">
        <f t="shared" si="98"/>
        <v>0</v>
      </c>
      <c r="AB55" s="204" t="e">
        <f t="shared" si="98"/>
        <v>#REF!</v>
      </c>
      <c r="AC55" s="205">
        <f t="shared" si="98"/>
        <v>0</v>
      </c>
      <c r="AD55" s="188">
        <f t="shared" si="91"/>
        <v>0</v>
      </c>
      <c r="AE55" s="206">
        <v>0</v>
      </c>
      <c r="AF55" s="206">
        <v>0</v>
      </c>
      <c r="AG55" s="207">
        <f t="shared" si="80"/>
        <v>0</v>
      </c>
      <c r="AH55" s="208">
        <f t="shared" si="99"/>
        <v>0</v>
      </c>
      <c r="AI55" s="208" t="e">
        <f t="shared" si="99"/>
        <v>#REF!</v>
      </c>
      <c r="AJ55" s="209">
        <f t="shared" si="99"/>
        <v>0</v>
      </c>
      <c r="AK55" s="192">
        <f t="shared" si="92"/>
        <v>0</v>
      </c>
      <c r="AL55" s="198">
        <v>0</v>
      </c>
      <c r="AM55" s="198">
        <v>0</v>
      </c>
      <c r="AN55" s="199">
        <f t="shared" si="81"/>
        <v>0</v>
      </c>
      <c r="AO55" s="200">
        <f t="shared" si="100"/>
        <v>0</v>
      </c>
      <c r="AP55" s="200" t="e">
        <f t="shared" si="100"/>
        <v>#REF!</v>
      </c>
      <c r="AQ55" s="201">
        <f t="shared" si="100"/>
        <v>0</v>
      </c>
      <c r="AR55" s="183">
        <f t="shared" si="93"/>
        <v>0</v>
      </c>
      <c r="AS55" s="202">
        <v>0</v>
      </c>
      <c r="AT55" s="202">
        <v>0</v>
      </c>
      <c r="AU55" s="203">
        <f t="shared" si="82"/>
        <v>0</v>
      </c>
      <c r="AV55" s="1202">
        <f t="shared" si="18"/>
        <v>0</v>
      </c>
      <c r="AW55" s="210">
        <f t="shared" si="83"/>
        <v>0</v>
      </c>
      <c r="AX55" s="196" t="str">
        <f t="shared" si="7"/>
        <v/>
      </c>
      <c r="BB55" s="98">
        <f t="shared" si="84"/>
        <v>0</v>
      </c>
      <c r="BC55" s="968">
        <f t="shared" si="19"/>
        <v>0</v>
      </c>
      <c r="BF55" s="112" t="e">
        <f t="shared" si="94"/>
        <v>#REF!</v>
      </c>
      <c r="BG55" s="117" t="e">
        <f t="shared" si="85"/>
        <v>#REF!</v>
      </c>
      <c r="BH55" s="112" t="e">
        <f t="shared" si="86"/>
        <v>#REF!</v>
      </c>
      <c r="BI55" s="117" t="e">
        <f t="shared" si="87"/>
        <v>#REF!</v>
      </c>
      <c r="BJ55" s="98" t="e">
        <f t="shared" si="95"/>
        <v>#REF!</v>
      </c>
    </row>
    <row r="56" spans="1:62">
      <c r="A56" s="175">
        <v>3</v>
      </c>
      <c r="B56" s="195" t="s">
        <v>490</v>
      </c>
      <c r="C56" s="1203">
        <f t="shared" si="88"/>
        <v>1200</v>
      </c>
      <c r="D56" s="1204">
        <v>2</v>
      </c>
      <c r="E56" s="196">
        <f t="shared" si="89"/>
        <v>0</v>
      </c>
      <c r="F56" s="197">
        <v>0</v>
      </c>
      <c r="G56" s="179">
        <f>IF(Setup!$L$8="No",0,J56+Q56+X56+AE56)</f>
        <v>0</v>
      </c>
      <c r="H56" s="179"/>
      <c r="I56" s="179">
        <f>IF(Sources!$D$10&gt;0,J56+Q56+X56+AE56,IF(Sources!$D$11&gt;0,H56,0))</f>
        <v>0</v>
      </c>
      <c r="J56" s="206">
        <v>0</v>
      </c>
      <c r="K56" s="206">
        <v>0</v>
      </c>
      <c r="L56" s="207">
        <f t="shared" si="76"/>
        <v>0</v>
      </c>
      <c r="M56" s="208">
        <f t="shared" si="96"/>
        <v>0</v>
      </c>
      <c r="N56" s="208" t="e">
        <f t="shared" si="96"/>
        <v>#REF!</v>
      </c>
      <c r="O56" s="209">
        <f t="shared" si="96"/>
        <v>0</v>
      </c>
      <c r="P56" s="209">
        <f t="shared" si="77"/>
        <v>0</v>
      </c>
      <c r="Q56" s="198">
        <v>0</v>
      </c>
      <c r="R56" s="198">
        <v>0</v>
      </c>
      <c r="S56" s="199">
        <f t="shared" si="78"/>
        <v>0</v>
      </c>
      <c r="T56" s="200">
        <f t="shared" si="97"/>
        <v>0</v>
      </c>
      <c r="U56" s="200" t="e">
        <f t="shared" si="97"/>
        <v>#REF!</v>
      </c>
      <c r="V56" s="201">
        <f t="shared" si="97"/>
        <v>0</v>
      </c>
      <c r="W56" s="184">
        <f t="shared" si="90"/>
        <v>0</v>
      </c>
      <c r="X56" s="202">
        <v>0</v>
      </c>
      <c r="Y56" s="202">
        <v>0</v>
      </c>
      <c r="Z56" s="203">
        <f t="shared" si="79"/>
        <v>0</v>
      </c>
      <c r="AA56" s="204">
        <f t="shared" si="98"/>
        <v>0</v>
      </c>
      <c r="AB56" s="204" t="e">
        <f t="shared" si="98"/>
        <v>#REF!</v>
      </c>
      <c r="AC56" s="205">
        <f t="shared" si="98"/>
        <v>0</v>
      </c>
      <c r="AD56" s="188">
        <f t="shared" si="91"/>
        <v>0</v>
      </c>
      <c r="AE56" s="206">
        <v>0</v>
      </c>
      <c r="AF56" s="206">
        <v>0</v>
      </c>
      <c r="AG56" s="207">
        <f t="shared" si="80"/>
        <v>0</v>
      </c>
      <c r="AH56" s="208">
        <f t="shared" si="99"/>
        <v>0</v>
      </c>
      <c r="AI56" s="208" t="e">
        <f t="shared" si="99"/>
        <v>#REF!</v>
      </c>
      <c r="AJ56" s="209">
        <f t="shared" si="99"/>
        <v>0</v>
      </c>
      <c r="AK56" s="192">
        <f t="shared" si="92"/>
        <v>0</v>
      </c>
      <c r="AL56" s="198">
        <v>0</v>
      </c>
      <c r="AM56" s="198">
        <v>0</v>
      </c>
      <c r="AN56" s="199">
        <f t="shared" si="81"/>
        <v>0</v>
      </c>
      <c r="AO56" s="200">
        <f t="shared" si="100"/>
        <v>0</v>
      </c>
      <c r="AP56" s="200" t="e">
        <f t="shared" si="100"/>
        <v>#REF!</v>
      </c>
      <c r="AQ56" s="201">
        <f t="shared" si="100"/>
        <v>0</v>
      </c>
      <c r="AR56" s="183">
        <f t="shared" si="93"/>
        <v>0</v>
      </c>
      <c r="AS56" s="202">
        <v>0</v>
      </c>
      <c r="AT56" s="202">
        <v>0</v>
      </c>
      <c r="AU56" s="203">
        <f t="shared" si="82"/>
        <v>0</v>
      </c>
      <c r="AV56" s="1202">
        <f t="shared" si="18"/>
        <v>0</v>
      </c>
      <c r="AW56" s="210">
        <f t="shared" si="83"/>
        <v>0</v>
      </c>
      <c r="AX56" s="196" t="str">
        <f t="shared" si="7"/>
        <v/>
      </c>
      <c r="BB56" s="98">
        <f t="shared" si="84"/>
        <v>0</v>
      </c>
      <c r="BC56" s="968">
        <f t="shared" si="19"/>
        <v>0</v>
      </c>
      <c r="BF56" s="112" t="e">
        <f t="shared" si="94"/>
        <v>#REF!</v>
      </c>
      <c r="BG56" s="117" t="e">
        <f t="shared" si="85"/>
        <v>#REF!</v>
      </c>
      <c r="BH56" s="112" t="e">
        <f t="shared" si="86"/>
        <v>#REF!</v>
      </c>
      <c r="BI56" s="117" t="e">
        <f t="shared" si="87"/>
        <v>#REF!</v>
      </c>
      <c r="BJ56" s="98" t="e">
        <f t="shared" si="95"/>
        <v>#REF!</v>
      </c>
    </row>
    <row r="57" spans="1:62">
      <c r="A57" s="175">
        <v>3</v>
      </c>
      <c r="B57" s="195" t="s">
        <v>491</v>
      </c>
      <c r="C57" s="1203">
        <f t="shared" si="88"/>
        <v>1200</v>
      </c>
      <c r="D57" s="1204">
        <v>2</v>
      </c>
      <c r="E57" s="196">
        <f t="shared" si="89"/>
        <v>0</v>
      </c>
      <c r="F57" s="197">
        <v>0</v>
      </c>
      <c r="G57" s="179">
        <f>IF(Setup!$L$8="No",0,J57+Q57+X57+AE57)</f>
        <v>0</v>
      </c>
      <c r="H57" s="179"/>
      <c r="I57" s="179">
        <f>IF(Sources!$D$10&gt;0,J57+Q57+X57+AE57,IF(Sources!$D$11&gt;0,H57,0))</f>
        <v>0</v>
      </c>
      <c r="J57" s="206">
        <v>0</v>
      </c>
      <c r="K57" s="206">
        <v>0</v>
      </c>
      <c r="L57" s="207">
        <f t="shared" si="76"/>
        <v>0</v>
      </c>
      <c r="M57" s="208">
        <f t="shared" si="96"/>
        <v>0</v>
      </c>
      <c r="N57" s="208" t="e">
        <f t="shared" si="96"/>
        <v>#REF!</v>
      </c>
      <c r="O57" s="209">
        <f t="shared" si="96"/>
        <v>0</v>
      </c>
      <c r="P57" s="209">
        <f t="shared" si="77"/>
        <v>0</v>
      </c>
      <c r="Q57" s="198">
        <v>0</v>
      </c>
      <c r="R57" s="198">
        <v>0</v>
      </c>
      <c r="S57" s="199">
        <f t="shared" si="78"/>
        <v>0</v>
      </c>
      <c r="T57" s="200">
        <f t="shared" si="97"/>
        <v>0</v>
      </c>
      <c r="U57" s="200" t="e">
        <f t="shared" si="97"/>
        <v>#REF!</v>
      </c>
      <c r="V57" s="201">
        <f t="shared" si="97"/>
        <v>0</v>
      </c>
      <c r="W57" s="184">
        <f t="shared" si="90"/>
        <v>0</v>
      </c>
      <c r="X57" s="202">
        <v>0</v>
      </c>
      <c r="Y57" s="202">
        <v>0</v>
      </c>
      <c r="Z57" s="203">
        <f t="shared" si="79"/>
        <v>0</v>
      </c>
      <c r="AA57" s="204">
        <f t="shared" si="98"/>
        <v>0</v>
      </c>
      <c r="AB57" s="204" t="e">
        <f t="shared" si="98"/>
        <v>#REF!</v>
      </c>
      <c r="AC57" s="205">
        <f t="shared" si="98"/>
        <v>0</v>
      </c>
      <c r="AD57" s="188">
        <f t="shared" si="91"/>
        <v>0</v>
      </c>
      <c r="AE57" s="206">
        <v>0</v>
      </c>
      <c r="AF57" s="206">
        <v>0</v>
      </c>
      <c r="AG57" s="207">
        <f t="shared" si="80"/>
        <v>0</v>
      </c>
      <c r="AH57" s="208">
        <f t="shared" si="99"/>
        <v>0</v>
      </c>
      <c r="AI57" s="208" t="e">
        <f t="shared" si="99"/>
        <v>#REF!</v>
      </c>
      <c r="AJ57" s="209">
        <f t="shared" si="99"/>
        <v>0</v>
      </c>
      <c r="AK57" s="192">
        <f t="shared" si="92"/>
        <v>0</v>
      </c>
      <c r="AL57" s="198">
        <v>0</v>
      </c>
      <c r="AM57" s="198">
        <v>0</v>
      </c>
      <c r="AN57" s="199">
        <f t="shared" si="81"/>
        <v>0</v>
      </c>
      <c r="AO57" s="200">
        <f t="shared" si="100"/>
        <v>0</v>
      </c>
      <c r="AP57" s="200" t="e">
        <f t="shared" si="100"/>
        <v>#REF!</v>
      </c>
      <c r="AQ57" s="201">
        <f t="shared" si="100"/>
        <v>0</v>
      </c>
      <c r="AR57" s="183">
        <f t="shared" si="93"/>
        <v>0</v>
      </c>
      <c r="AS57" s="202">
        <v>0</v>
      </c>
      <c r="AT57" s="202">
        <v>0</v>
      </c>
      <c r="AU57" s="203">
        <f t="shared" si="82"/>
        <v>0</v>
      </c>
      <c r="AV57" s="1202">
        <f t="shared" si="18"/>
        <v>0</v>
      </c>
      <c r="AW57" s="210">
        <f t="shared" si="83"/>
        <v>0</v>
      </c>
      <c r="AX57" s="196" t="str">
        <f t="shared" si="7"/>
        <v/>
      </c>
      <c r="BB57" s="98">
        <f t="shared" si="84"/>
        <v>0</v>
      </c>
      <c r="BC57" s="968">
        <f t="shared" si="19"/>
        <v>0</v>
      </c>
      <c r="BF57" s="112" t="e">
        <f t="shared" si="94"/>
        <v>#REF!</v>
      </c>
      <c r="BG57" s="117" t="e">
        <f t="shared" si="85"/>
        <v>#REF!</v>
      </c>
      <c r="BH57" s="112" t="e">
        <f t="shared" si="86"/>
        <v>#REF!</v>
      </c>
      <c r="BI57" s="117" t="e">
        <f t="shared" si="87"/>
        <v>#REF!</v>
      </c>
      <c r="BJ57" s="98" t="e">
        <f t="shared" si="95"/>
        <v>#REF!</v>
      </c>
    </row>
    <row r="58" spans="1:62">
      <c r="A58" s="175">
        <v>3</v>
      </c>
      <c r="B58" s="195" t="s">
        <v>492</v>
      </c>
      <c r="C58" s="1203">
        <f t="shared" si="88"/>
        <v>1200</v>
      </c>
      <c r="D58" s="1204">
        <v>2</v>
      </c>
      <c r="E58" s="196">
        <f t="shared" si="89"/>
        <v>0</v>
      </c>
      <c r="F58" s="197">
        <v>0</v>
      </c>
      <c r="G58" s="179">
        <f>IF(Setup!$L$8="No",0,J58+Q58+X58+AE58)</f>
        <v>0</v>
      </c>
      <c r="H58" s="179"/>
      <c r="I58" s="179">
        <f>IF(Sources!$D$10&gt;0,J58+Q58+X58+AE58,IF(Sources!$D$11&gt;0,H58,0))</f>
        <v>0</v>
      </c>
      <c r="J58" s="206">
        <v>0</v>
      </c>
      <c r="K58" s="206">
        <v>0</v>
      </c>
      <c r="L58" s="207">
        <f t="shared" si="76"/>
        <v>0</v>
      </c>
      <c r="M58" s="208">
        <f t="shared" si="96"/>
        <v>0</v>
      </c>
      <c r="N58" s="208" t="e">
        <f t="shared" si="96"/>
        <v>#REF!</v>
      </c>
      <c r="O58" s="209">
        <f t="shared" si="96"/>
        <v>0</v>
      </c>
      <c r="P58" s="209">
        <f t="shared" si="77"/>
        <v>0</v>
      </c>
      <c r="Q58" s="198">
        <v>0</v>
      </c>
      <c r="R58" s="198">
        <v>0</v>
      </c>
      <c r="S58" s="199">
        <f t="shared" si="78"/>
        <v>0</v>
      </c>
      <c r="T58" s="200">
        <f t="shared" si="97"/>
        <v>0</v>
      </c>
      <c r="U58" s="200" t="e">
        <f t="shared" si="97"/>
        <v>#REF!</v>
      </c>
      <c r="V58" s="201">
        <f t="shared" si="97"/>
        <v>0</v>
      </c>
      <c r="W58" s="184">
        <f t="shared" si="90"/>
        <v>0</v>
      </c>
      <c r="X58" s="202">
        <v>0</v>
      </c>
      <c r="Y58" s="202"/>
      <c r="Z58" s="203">
        <f t="shared" si="79"/>
        <v>0</v>
      </c>
      <c r="AA58" s="204">
        <f t="shared" si="98"/>
        <v>0</v>
      </c>
      <c r="AB58" s="204" t="e">
        <f t="shared" si="98"/>
        <v>#REF!</v>
      </c>
      <c r="AC58" s="205">
        <f t="shared" si="98"/>
        <v>0</v>
      </c>
      <c r="AD58" s="188">
        <f t="shared" si="91"/>
        <v>0</v>
      </c>
      <c r="AE58" s="206">
        <v>0</v>
      </c>
      <c r="AF58" s="206">
        <v>0</v>
      </c>
      <c r="AG58" s="207">
        <f t="shared" si="80"/>
        <v>0</v>
      </c>
      <c r="AH58" s="208">
        <f t="shared" si="99"/>
        <v>0</v>
      </c>
      <c r="AI58" s="208" t="e">
        <f t="shared" si="99"/>
        <v>#REF!</v>
      </c>
      <c r="AJ58" s="209">
        <f t="shared" si="99"/>
        <v>0</v>
      </c>
      <c r="AK58" s="192">
        <f t="shared" si="92"/>
        <v>0</v>
      </c>
      <c r="AL58" s="198">
        <v>0</v>
      </c>
      <c r="AM58" s="198">
        <v>0</v>
      </c>
      <c r="AN58" s="199">
        <f t="shared" si="81"/>
        <v>0</v>
      </c>
      <c r="AO58" s="200">
        <f t="shared" si="100"/>
        <v>0</v>
      </c>
      <c r="AP58" s="200" t="e">
        <f t="shared" si="100"/>
        <v>#REF!</v>
      </c>
      <c r="AQ58" s="201">
        <f t="shared" si="100"/>
        <v>0</v>
      </c>
      <c r="AR58" s="183">
        <f t="shared" si="93"/>
        <v>0</v>
      </c>
      <c r="AS58" s="202">
        <v>0</v>
      </c>
      <c r="AT58" s="202">
        <v>0</v>
      </c>
      <c r="AU58" s="203">
        <f t="shared" si="82"/>
        <v>0</v>
      </c>
      <c r="AV58" s="1202">
        <f t="shared" si="18"/>
        <v>0</v>
      </c>
      <c r="AW58" s="210">
        <f t="shared" si="83"/>
        <v>0</v>
      </c>
      <c r="AX58" s="196" t="str">
        <f t="shared" si="7"/>
        <v/>
      </c>
      <c r="BB58" s="98">
        <f t="shared" si="84"/>
        <v>0</v>
      </c>
      <c r="BC58" s="968">
        <f t="shared" si="19"/>
        <v>0</v>
      </c>
      <c r="BF58" s="112" t="e">
        <f t="shared" si="94"/>
        <v>#REF!</v>
      </c>
      <c r="BG58" s="117" t="e">
        <f t="shared" si="85"/>
        <v>#REF!</v>
      </c>
      <c r="BH58" s="112" t="e">
        <f t="shared" si="86"/>
        <v>#REF!</v>
      </c>
      <c r="BI58" s="117" t="e">
        <f t="shared" si="87"/>
        <v>#REF!</v>
      </c>
      <c r="BJ58" s="98" t="e">
        <f t="shared" si="95"/>
        <v>#REF!</v>
      </c>
    </row>
    <row r="59" spans="1:62">
      <c r="A59" s="175">
        <v>3</v>
      </c>
      <c r="B59" s="195" t="s">
        <v>493</v>
      </c>
      <c r="C59" s="1203">
        <f t="shared" si="88"/>
        <v>1200</v>
      </c>
      <c r="D59" s="1204">
        <v>2</v>
      </c>
      <c r="E59" s="196">
        <f t="shared" si="89"/>
        <v>0</v>
      </c>
      <c r="F59" s="197">
        <v>0</v>
      </c>
      <c r="G59" s="179">
        <f>IF(Setup!$L$8="No",0,J59+Q59+X59+AE59)</f>
        <v>0</v>
      </c>
      <c r="H59" s="179"/>
      <c r="I59" s="179">
        <f>IF(Sources!$D$10&gt;0,J59+Q59+X59+AE59,IF(Sources!$D$11&gt;0,H59,0))</f>
        <v>0</v>
      </c>
      <c r="J59" s="206">
        <v>0</v>
      </c>
      <c r="K59" s="206">
        <v>0</v>
      </c>
      <c r="L59" s="207">
        <f t="shared" si="76"/>
        <v>0</v>
      </c>
      <c r="M59" s="208">
        <f t="shared" si="96"/>
        <v>0</v>
      </c>
      <c r="N59" s="208" t="e">
        <f t="shared" si="96"/>
        <v>#REF!</v>
      </c>
      <c r="O59" s="209">
        <f t="shared" si="96"/>
        <v>0</v>
      </c>
      <c r="P59" s="209">
        <f t="shared" si="77"/>
        <v>0</v>
      </c>
      <c r="Q59" s="198">
        <v>0</v>
      </c>
      <c r="R59" s="198">
        <v>0</v>
      </c>
      <c r="S59" s="199">
        <f t="shared" si="78"/>
        <v>0</v>
      </c>
      <c r="T59" s="200">
        <f t="shared" si="97"/>
        <v>0</v>
      </c>
      <c r="U59" s="200" t="e">
        <f t="shared" si="97"/>
        <v>#REF!</v>
      </c>
      <c r="V59" s="201">
        <f t="shared" si="97"/>
        <v>0</v>
      </c>
      <c r="W59" s="184">
        <f t="shared" si="90"/>
        <v>0</v>
      </c>
      <c r="X59" s="202">
        <v>0</v>
      </c>
      <c r="Y59" s="202"/>
      <c r="Z59" s="203">
        <f t="shared" si="79"/>
        <v>0</v>
      </c>
      <c r="AA59" s="204">
        <f t="shared" si="98"/>
        <v>0</v>
      </c>
      <c r="AB59" s="204" t="e">
        <f t="shared" si="98"/>
        <v>#REF!</v>
      </c>
      <c r="AC59" s="205">
        <f t="shared" si="98"/>
        <v>0</v>
      </c>
      <c r="AD59" s="188">
        <f t="shared" si="91"/>
        <v>0</v>
      </c>
      <c r="AE59" s="206">
        <v>0</v>
      </c>
      <c r="AF59" s="206">
        <v>0</v>
      </c>
      <c r="AG59" s="207">
        <f t="shared" si="80"/>
        <v>0</v>
      </c>
      <c r="AH59" s="208">
        <f t="shared" si="99"/>
        <v>0</v>
      </c>
      <c r="AI59" s="208" t="e">
        <f t="shared" si="99"/>
        <v>#REF!</v>
      </c>
      <c r="AJ59" s="209">
        <f t="shared" si="99"/>
        <v>0</v>
      </c>
      <c r="AK59" s="192">
        <f t="shared" si="92"/>
        <v>0</v>
      </c>
      <c r="AL59" s="198">
        <v>0</v>
      </c>
      <c r="AM59" s="198">
        <v>0</v>
      </c>
      <c r="AN59" s="199">
        <f t="shared" si="81"/>
        <v>0</v>
      </c>
      <c r="AO59" s="200">
        <f t="shared" si="100"/>
        <v>0</v>
      </c>
      <c r="AP59" s="200" t="e">
        <f t="shared" si="100"/>
        <v>#REF!</v>
      </c>
      <c r="AQ59" s="201">
        <f t="shared" si="100"/>
        <v>0</v>
      </c>
      <c r="AR59" s="183">
        <f t="shared" si="93"/>
        <v>0</v>
      </c>
      <c r="AS59" s="202">
        <v>0</v>
      </c>
      <c r="AT59" s="202">
        <v>0</v>
      </c>
      <c r="AU59" s="203">
        <f t="shared" si="82"/>
        <v>0</v>
      </c>
      <c r="AV59" s="1202">
        <f t="shared" si="18"/>
        <v>0</v>
      </c>
      <c r="AW59" s="210">
        <f t="shared" si="83"/>
        <v>0</v>
      </c>
      <c r="AX59" s="196" t="str">
        <f t="shared" si="7"/>
        <v/>
      </c>
      <c r="BB59" s="98">
        <f t="shared" si="84"/>
        <v>0</v>
      </c>
      <c r="BC59" s="968">
        <f t="shared" si="19"/>
        <v>0</v>
      </c>
      <c r="BF59" s="112" t="e">
        <f t="shared" si="94"/>
        <v>#REF!</v>
      </c>
      <c r="BG59" s="117" t="e">
        <f t="shared" si="85"/>
        <v>#REF!</v>
      </c>
      <c r="BH59" s="112" t="e">
        <f t="shared" si="86"/>
        <v>#REF!</v>
      </c>
      <c r="BI59" s="117" t="e">
        <f t="shared" si="87"/>
        <v>#REF!</v>
      </c>
      <c r="BJ59" s="98" t="e">
        <f t="shared" si="95"/>
        <v>#REF!</v>
      </c>
    </row>
    <row r="60" spans="1:62" hidden="1" outlineLevel="1">
      <c r="A60" s="175">
        <v>3</v>
      </c>
      <c r="B60" s="195" t="s">
        <v>494</v>
      </c>
      <c r="C60" s="1203">
        <f t="shared" si="88"/>
        <v>1200</v>
      </c>
      <c r="D60" s="1204">
        <v>2</v>
      </c>
      <c r="E60" s="196">
        <f t="shared" si="89"/>
        <v>0</v>
      </c>
      <c r="F60" s="197">
        <v>0</v>
      </c>
      <c r="G60" s="179">
        <f>IF(Setup!$L$8="No",0,J60+Q60+X60+AE60)</f>
        <v>0</v>
      </c>
      <c r="H60" s="179"/>
      <c r="I60" s="179">
        <f>IF(Sources!$D$10&gt;0,J60+Q60+X60+AE60,IF(Sources!$D$11&gt;0,H60,0))</f>
        <v>0</v>
      </c>
      <c r="J60" s="206">
        <v>0</v>
      </c>
      <c r="K60" s="206">
        <v>0</v>
      </c>
      <c r="L60" s="207">
        <f t="shared" si="76"/>
        <v>0</v>
      </c>
      <c r="M60" s="208">
        <f t="shared" si="96"/>
        <v>0</v>
      </c>
      <c r="N60" s="208" t="e">
        <f t="shared" si="96"/>
        <v>#REF!</v>
      </c>
      <c r="O60" s="209">
        <f t="shared" si="96"/>
        <v>0</v>
      </c>
      <c r="P60" s="209">
        <f t="shared" si="77"/>
        <v>0</v>
      </c>
      <c r="Q60" s="198">
        <v>0</v>
      </c>
      <c r="R60" s="198">
        <v>0</v>
      </c>
      <c r="S60" s="199">
        <f t="shared" si="78"/>
        <v>0</v>
      </c>
      <c r="T60" s="200">
        <f t="shared" si="97"/>
        <v>0</v>
      </c>
      <c r="U60" s="200" t="e">
        <f t="shared" si="97"/>
        <v>#REF!</v>
      </c>
      <c r="V60" s="201">
        <f t="shared" si="97"/>
        <v>0</v>
      </c>
      <c r="W60" s="184">
        <f t="shared" si="90"/>
        <v>0</v>
      </c>
      <c r="X60" s="202">
        <v>0</v>
      </c>
      <c r="Y60" s="202"/>
      <c r="Z60" s="203">
        <f t="shared" si="79"/>
        <v>0</v>
      </c>
      <c r="AA60" s="204">
        <f t="shared" si="98"/>
        <v>0</v>
      </c>
      <c r="AB60" s="204" t="e">
        <f t="shared" si="98"/>
        <v>#REF!</v>
      </c>
      <c r="AC60" s="205">
        <f t="shared" si="98"/>
        <v>0</v>
      </c>
      <c r="AD60" s="188">
        <f t="shared" si="91"/>
        <v>0</v>
      </c>
      <c r="AE60" s="206">
        <v>0</v>
      </c>
      <c r="AF60" s="206">
        <v>0</v>
      </c>
      <c r="AG60" s="207">
        <f t="shared" si="80"/>
        <v>0</v>
      </c>
      <c r="AH60" s="208">
        <f t="shared" si="99"/>
        <v>0</v>
      </c>
      <c r="AI60" s="208" t="e">
        <f t="shared" si="99"/>
        <v>#REF!</v>
      </c>
      <c r="AJ60" s="209">
        <f t="shared" si="99"/>
        <v>0</v>
      </c>
      <c r="AK60" s="192">
        <f t="shared" si="92"/>
        <v>0</v>
      </c>
      <c r="AL60" s="198">
        <v>0</v>
      </c>
      <c r="AM60" s="198">
        <v>0</v>
      </c>
      <c r="AN60" s="199">
        <f t="shared" si="81"/>
        <v>0</v>
      </c>
      <c r="AO60" s="200">
        <f t="shared" si="100"/>
        <v>0</v>
      </c>
      <c r="AP60" s="200" t="e">
        <f t="shared" si="100"/>
        <v>#REF!</v>
      </c>
      <c r="AQ60" s="201">
        <f t="shared" si="100"/>
        <v>0</v>
      </c>
      <c r="AR60" s="183">
        <f t="shared" si="93"/>
        <v>0</v>
      </c>
      <c r="AS60" s="202">
        <v>0</v>
      </c>
      <c r="AT60" s="202">
        <v>0</v>
      </c>
      <c r="AU60" s="203">
        <f t="shared" si="82"/>
        <v>0</v>
      </c>
      <c r="AV60" s="1202">
        <f t="shared" si="18"/>
        <v>0</v>
      </c>
      <c r="AW60" s="210">
        <f t="shared" si="83"/>
        <v>0</v>
      </c>
      <c r="AX60" s="196" t="str">
        <f t="shared" si="7"/>
        <v/>
      </c>
      <c r="BB60" s="98">
        <f t="shared" si="84"/>
        <v>0</v>
      </c>
      <c r="BC60" s="968">
        <f t="shared" si="19"/>
        <v>0</v>
      </c>
      <c r="BF60" s="112" t="e">
        <f t="shared" si="94"/>
        <v>#REF!</v>
      </c>
      <c r="BG60" s="117" t="e">
        <f t="shared" si="85"/>
        <v>#REF!</v>
      </c>
      <c r="BH60" s="112" t="e">
        <f t="shared" si="86"/>
        <v>#REF!</v>
      </c>
      <c r="BI60" s="117" t="e">
        <f t="shared" si="87"/>
        <v>#REF!</v>
      </c>
      <c r="BJ60" s="98" t="e">
        <f t="shared" si="95"/>
        <v>#REF!</v>
      </c>
    </row>
    <row r="61" spans="1:62" hidden="1" outlineLevel="1">
      <c r="A61" s="175">
        <v>3</v>
      </c>
      <c r="B61" s="195" t="s">
        <v>495</v>
      </c>
      <c r="C61" s="1203">
        <f t="shared" si="88"/>
        <v>1200</v>
      </c>
      <c r="D61" s="1204">
        <v>2</v>
      </c>
      <c r="E61" s="196">
        <f t="shared" si="89"/>
        <v>0</v>
      </c>
      <c r="F61" s="197">
        <v>0</v>
      </c>
      <c r="G61" s="179">
        <f>IF(Setup!$L$8="No",0,J61+Q61+X61+AE61)</f>
        <v>0</v>
      </c>
      <c r="H61" s="179"/>
      <c r="I61" s="179">
        <f>IF(Sources!$D$10&gt;0,J61+Q61+X61+AE61,IF(Sources!$D$11&gt;0,H61,0))</f>
        <v>0</v>
      </c>
      <c r="J61" s="206">
        <v>0</v>
      </c>
      <c r="K61" s="206">
        <v>0</v>
      </c>
      <c r="L61" s="207">
        <f t="shared" si="76"/>
        <v>0</v>
      </c>
      <c r="M61" s="208">
        <f t="shared" si="96"/>
        <v>0</v>
      </c>
      <c r="N61" s="208" t="e">
        <f t="shared" si="96"/>
        <v>#REF!</v>
      </c>
      <c r="O61" s="209">
        <f t="shared" si="96"/>
        <v>0</v>
      </c>
      <c r="P61" s="209">
        <f t="shared" si="77"/>
        <v>0</v>
      </c>
      <c r="Q61" s="198">
        <v>0</v>
      </c>
      <c r="R61" s="198">
        <v>0</v>
      </c>
      <c r="S61" s="199">
        <f t="shared" si="78"/>
        <v>0</v>
      </c>
      <c r="T61" s="200">
        <f t="shared" si="97"/>
        <v>0</v>
      </c>
      <c r="U61" s="200" t="e">
        <f t="shared" si="97"/>
        <v>#REF!</v>
      </c>
      <c r="V61" s="201">
        <f t="shared" si="97"/>
        <v>0</v>
      </c>
      <c r="W61" s="184">
        <f t="shared" si="90"/>
        <v>0</v>
      </c>
      <c r="X61" s="202">
        <v>0</v>
      </c>
      <c r="Y61" s="202"/>
      <c r="Z61" s="203">
        <f t="shared" si="79"/>
        <v>0</v>
      </c>
      <c r="AA61" s="204">
        <f t="shared" si="98"/>
        <v>0</v>
      </c>
      <c r="AB61" s="204" t="e">
        <f t="shared" si="98"/>
        <v>#REF!</v>
      </c>
      <c r="AC61" s="205">
        <f t="shared" si="98"/>
        <v>0</v>
      </c>
      <c r="AD61" s="188">
        <f t="shared" si="91"/>
        <v>0</v>
      </c>
      <c r="AE61" s="206">
        <v>0</v>
      </c>
      <c r="AF61" s="206">
        <v>0</v>
      </c>
      <c r="AG61" s="207">
        <f t="shared" si="80"/>
        <v>0</v>
      </c>
      <c r="AH61" s="208">
        <f t="shared" si="99"/>
        <v>0</v>
      </c>
      <c r="AI61" s="208" t="e">
        <f t="shared" si="99"/>
        <v>#REF!</v>
      </c>
      <c r="AJ61" s="209">
        <f t="shared" si="99"/>
        <v>0</v>
      </c>
      <c r="AK61" s="192">
        <f t="shared" si="92"/>
        <v>0</v>
      </c>
      <c r="AL61" s="198">
        <v>0</v>
      </c>
      <c r="AM61" s="198">
        <v>0</v>
      </c>
      <c r="AN61" s="199">
        <f t="shared" si="81"/>
        <v>0</v>
      </c>
      <c r="AO61" s="200">
        <f t="shared" si="100"/>
        <v>0</v>
      </c>
      <c r="AP61" s="200" t="e">
        <f t="shared" si="100"/>
        <v>#REF!</v>
      </c>
      <c r="AQ61" s="201">
        <f t="shared" si="100"/>
        <v>0</v>
      </c>
      <c r="AR61" s="183">
        <f t="shared" si="93"/>
        <v>0</v>
      </c>
      <c r="AS61" s="202">
        <v>0</v>
      </c>
      <c r="AT61" s="202">
        <v>0</v>
      </c>
      <c r="AU61" s="203">
        <f t="shared" si="82"/>
        <v>0</v>
      </c>
      <c r="AV61" s="1202">
        <f t="shared" si="18"/>
        <v>0</v>
      </c>
      <c r="AW61" s="210">
        <f t="shared" si="83"/>
        <v>0</v>
      </c>
      <c r="AX61" s="196" t="str">
        <f t="shared" si="7"/>
        <v/>
      </c>
      <c r="BB61" s="98">
        <f t="shared" si="84"/>
        <v>0</v>
      </c>
      <c r="BC61" s="968">
        <f t="shared" si="19"/>
        <v>0</v>
      </c>
      <c r="BF61" s="112" t="e">
        <f t="shared" si="94"/>
        <v>#REF!</v>
      </c>
      <c r="BG61" s="117" t="e">
        <f t="shared" si="85"/>
        <v>#REF!</v>
      </c>
      <c r="BH61" s="112" t="e">
        <f t="shared" si="86"/>
        <v>#REF!</v>
      </c>
      <c r="BI61" s="117" t="e">
        <f t="shared" si="87"/>
        <v>#REF!</v>
      </c>
      <c r="BJ61" s="98" t="e">
        <f t="shared" si="95"/>
        <v>#REF!</v>
      </c>
    </row>
    <row r="62" spans="1:62" hidden="1" outlineLevel="1">
      <c r="A62" s="175">
        <v>3</v>
      </c>
      <c r="B62" s="195" t="s">
        <v>496</v>
      </c>
      <c r="C62" s="1203">
        <f t="shared" si="88"/>
        <v>1200</v>
      </c>
      <c r="D62" s="1204">
        <v>2</v>
      </c>
      <c r="E62" s="196">
        <f t="shared" si="89"/>
        <v>0</v>
      </c>
      <c r="F62" s="197">
        <v>0</v>
      </c>
      <c r="G62" s="179">
        <f>IF(Setup!$L$8="No",0,J62+Q62+X62+AE62)</f>
        <v>0</v>
      </c>
      <c r="H62" s="179"/>
      <c r="I62" s="179">
        <f>IF(Sources!$D$10&gt;0,J62+Q62+X62+AE62,IF(Sources!$D$11&gt;0,H62,0))</f>
        <v>0</v>
      </c>
      <c r="J62" s="206">
        <v>0</v>
      </c>
      <c r="K62" s="206">
        <v>0</v>
      </c>
      <c r="L62" s="207">
        <f t="shared" si="76"/>
        <v>0</v>
      </c>
      <c r="M62" s="208">
        <f t="shared" si="96"/>
        <v>0</v>
      </c>
      <c r="N62" s="208" t="e">
        <f t="shared" si="96"/>
        <v>#REF!</v>
      </c>
      <c r="O62" s="209">
        <f t="shared" si="96"/>
        <v>0</v>
      </c>
      <c r="P62" s="209">
        <f t="shared" si="77"/>
        <v>0</v>
      </c>
      <c r="Q62" s="198">
        <v>0</v>
      </c>
      <c r="R62" s="198">
        <v>0</v>
      </c>
      <c r="S62" s="199">
        <f t="shared" si="78"/>
        <v>0</v>
      </c>
      <c r="T62" s="200">
        <f t="shared" si="97"/>
        <v>0</v>
      </c>
      <c r="U62" s="200" t="e">
        <f t="shared" si="97"/>
        <v>#REF!</v>
      </c>
      <c r="V62" s="201">
        <f t="shared" si="97"/>
        <v>0</v>
      </c>
      <c r="W62" s="184">
        <f t="shared" si="90"/>
        <v>0</v>
      </c>
      <c r="X62" s="202">
        <v>0</v>
      </c>
      <c r="Y62" s="202"/>
      <c r="Z62" s="203">
        <f t="shared" si="79"/>
        <v>0</v>
      </c>
      <c r="AA62" s="204">
        <f t="shared" si="98"/>
        <v>0</v>
      </c>
      <c r="AB62" s="204" t="e">
        <f t="shared" si="98"/>
        <v>#REF!</v>
      </c>
      <c r="AC62" s="205">
        <f t="shared" si="98"/>
        <v>0</v>
      </c>
      <c r="AD62" s="188">
        <f t="shared" si="91"/>
        <v>0</v>
      </c>
      <c r="AE62" s="206">
        <v>0</v>
      </c>
      <c r="AF62" s="206">
        <v>0</v>
      </c>
      <c r="AG62" s="207">
        <f t="shared" si="80"/>
        <v>0</v>
      </c>
      <c r="AH62" s="208">
        <f t="shared" si="99"/>
        <v>0</v>
      </c>
      <c r="AI62" s="208" t="e">
        <f t="shared" si="99"/>
        <v>#REF!</v>
      </c>
      <c r="AJ62" s="209">
        <f t="shared" si="99"/>
        <v>0</v>
      </c>
      <c r="AK62" s="192">
        <f t="shared" si="92"/>
        <v>0</v>
      </c>
      <c r="AL62" s="198">
        <v>0</v>
      </c>
      <c r="AM62" s="198">
        <v>0</v>
      </c>
      <c r="AN62" s="199">
        <f t="shared" si="81"/>
        <v>0</v>
      </c>
      <c r="AO62" s="200">
        <f t="shared" si="100"/>
        <v>0</v>
      </c>
      <c r="AP62" s="200" t="e">
        <f t="shared" si="100"/>
        <v>#REF!</v>
      </c>
      <c r="AQ62" s="201">
        <f t="shared" si="100"/>
        <v>0</v>
      </c>
      <c r="AR62" s="183">
        <f t="shared" si="93"/>
        <v>0</v>
      </c>
      <c r="AS62" s="202">
        <v>0</v>
      </c>
      <c r="AT62" s="202">
        <v>0</v>
      </c>
      <c r="AU62" s="203">
        <f t="shared" si="82"/>
        <v>0</v>
      </c>
      <c r="AV62" s="1202">
        <f t="shared" si="18"/>
        <v>0</v>
      </c>
      <c r="AW62" s="210">
        <f t="shared" si="83"/>
        <v>0</v>
      </c>
      <c r="AX62" s="196" t="str">
        <f t="shared" si="7"/>
        <v/>
      </c>
      <c r="BB62" s="98">
        <f t="shared" si="84"/>
        <v>0</v>
      </c>
      <c r="BC62" s="968">
        <f t="shared" si="19"/>
        <v>0</v>
      </c>
      <c r="BF62" s="112" t="e">
        <f t="shared" si="94"/>
        <v>#REF!</v>
      </c>
      <c r="BG62" s="117" t="e">
        <f t="shared" si="85"/>
        <v>#REF!</v>
      </c>
      <c r="BH62" s="112" t="e">
        <f t="shared" si="86"/>
        <v>#REF!</v>
      </c>
      <c r="BI62" s="117" t="e">
        <f t="shared" si="87"/>
        <v>#REF!</v>
      </c>
      <c r="BJ62" s="98" t="e">
        <f t="shared" si="95"/>
        <v>#REF!</v>
      </c>
    </row>
    <row r="63" spans="1:62" hidden="1" outlineLevel="1">
      <c r="A63" s="175">
        <v>3</v>
      </c>
      <c r="B63" s="195" t="s">
        <v>497</v>
      </c>
      <c r="C63" s="1203">
        <f t="shared" si="88"/>
        <v>1200</v>
      </c>
      <c r="D63" s="1204">
        <v>2</v>
      </c>
      <c r="E63" s="196">
        <f t="shared" si="89"/>
        <v>0</v>
      </c>
      <c r="F63" s="197">
        <v>0</v>
      </c>
      <c r="G63" s="179">
        <f>IF(Setup!$L$8="No",0,J63+Q63+X63+AE63)</f>
        <v>0</v>
      </c>
      <c r="H63" s="179"/>
      <c r="I63" s="179">
        <f>IF(Sources!$D$10&gt;0,J63+Q63+X63+AE63,IF(Sources!$D$11&gt;0,H63,0))</f>
        <v>0</v>
      </c>
      <c r="J63" s="206">
        <v>0</v>
      </c>
      <c r="K63" s="206">
        <v>0</v>
      </c>
      <c r="L63" s="207">
        <f t="shared" si="76"/>
        <v>0</v>
      </c>
      <c r="M63" s="208">
        <f t="shared" si="96"/>
        <v>0</v>
      </c>
      <c r="N63" s="208" t="e">
        <f t="shared" si="96"/>
        <v>#REF!</v>
      </c>
      <c r="O63" s="209">
        <f t="shared" si="96"/>
        <v>0</v>
      </c>
      <c r="P63" s="209">
        <f t="shared" si="77"/>
        <v>0</v>
      </c>
      <c r="Q63" s="198">
        <v>0</v>
      </c>
      <c r="R63" s="198">
        <v>0</v>
      </c>
      <c r="S63" s="199">
        <f t="shared" si="78"/>
        <v>0</v>
      </c>
      <c r="T63" s="200">
        <f t="shared" si="97"/>
        <v>0</v>
      </c>
      <c r="U63" s="200" t="e">
        <f t="shared" si="97"/>
        <v>#REF!</v>
      </c>
      <c r="V63" s="201">
        <f t="shared" si="97"/>
        <v>0</v>
      </c>
      <c r="W63" s="184">
        <f t="shared" si="90"/>
        <v>0</v>
      </c>
      <c r="X63" s="202">
        <v>0</v>
      </c>
      <c r="Y63" s="202"/>
      <c r="Z63" s="203">
        <f t="shared" si="79"/>
        <v>0</v>
      </c>
      <c r="AA63" s="204">
        <f t="shared" si="98"/>
        <v>0</v>
      </c>
      <c r="AB63" s="204" t="e">
        <f t="shared" si="98"/>
        <v>#REF!</v>
      </c>
      <c r="AC63" s="205">
        <f t="shared" si="98"/>
        <v>0</v>
      </c>
      <c r="AD63" s="188">
        <f t="shared" si="91"/>
        <v>0</v>
      </c>
      <c r="AE63" s="206">
        <v>0</v>
      </c>
      <c r="AF63" s="206">
        <v>0</v>
      </c>
      <c r="AG63" s="207">
        <f t="shared" si="80"/>
        <v>0</v>
      </c>
      <c r="AH63" s="208">
        <f t="shared" si="99"/>
        <v>0</v>
      </c>
      <c r="AI63" s="208" t="e">
        <f t="shared" si="99"/>
        <v>#REF!</v>
      </c>
      <c r="AJ63" s="209">
        <f t="shared" si="99"/>
        <v>0</v>
      </c>
      <c r="AK63" s="192">
        <f t="shared" si="92"/>
        <v>0</v>
      </c>
      <c r="AL63" s="198">
        <v>0</v>
      </c>
      <c r="AM63" s="198">
        <v>0</v>
      </c>
      <c r="AN63" s="199">
        <f t="shared" si="81"/>
        <v>0</v>
      </c>
      <c r="AO63" s="200">
        <f t="shared" si="100"/>
        <v>0</v>
      </c>
      <c r="AP63" s="200" t="e">
        <f t="shared" si="100"/>
        <v>#REF!</v>
      </c>
      <c r="AQ63" s="201">
        <f t="shared" si="100"/>
        <v>0</v>
      </c>
      <c r="AR63" s="183">
        <f t="shared" si="93"/>
        <v>0</v>
      </c>
      <c r="AS63" s="202">
        <v>0</v>
      </c>
      <c r="AT63" s="202">
        <v>0</v>
      </c>
      <c r="AU63" s="203">
        <f t="shared" si="82"/>
        <v>0</v>
      </c>
      <c r="AV63" s="1202">
        <f t="shared" si="18"/>
        <v>0</v>
      </c>
      <c r="AW63" s="210">
        <f t="shared" si="83"/>
        <v>0</v>
      </c>
      <c r="AX63" s="196" t="str">
        <f t="shared" si="7"/>
        <v/>
      </c>
      <c r="BB63" s="98">
        <f t="shared" si="84"/>
        <v>0</v>
      </c>
      <c r="BC63" s="968">
        <f t="shared" si="19"/>
        <v>0</v>
      </c>
      <c r="BF63" s="112" t="e">
        <f t="shared" si="94"/>
        <v>#REF!</v>
      </c>
      <c r="BG63" s="117" t="e">
        <f t="shared" si="85"/>
        <v>#REF!</v>
      </c>
      <c r="BH63" s="112" t="e">
        <f t="shared" si="86"/>
        <v>#REF!</v>
      </c>
      <c r="BI63" s="117" t="e">
        <f t="shared" si="87"/>
        <v>#REF!</v>
      </c>
      <c r="BJ63" s="98" t="e">
        <f t="shared" si="95"/>
        <v>#REF!</v>
      </c>
    </row>
    <row r="64" spans="1:62" hidden="1" outlineLevel="1">
      <c r="A64" s="175">
        <v>3</v>
      </c>
      <c r="B64" s="195" t="s">
        <v>498</v>
      </c>
      <c r="C64" s="1203">
        <f t="shared" si="88"/>
        <v>1200</v>
      </c>
      <c r="D64" s="1204">
        <v>2</v>
      </c>
      <c r="E64" s="196">
        <f t="shared" si="89"/>
        <v>0</v>
      </c>
      <c r="F64" s="197">
        <v>0</v>
      </c>
      <c r="G64" s="179">
        <f>IF(Setup!$L$8="No",0,J64+Q64+X64+AE64)</f>
        <v>0</v>
      </c>
      <c r="H64" s="179"/>
      <c r="I64" s="179">
        <f>IF(Sources!$D$10&gt;0,J64+Q64+X64+AE64,IF(Sources!$D$11&gt;0,H64,0))</f>
        <v>0</v>
      </c>
      <c r="J64" s="206">
        <v>0</v>
      </c>
      <c r="K64" s="206">
        <v>0</v>
      </c>
      <c r="L64" s="207">
        <f t="shared" si="76"/>
        <v>0</v>
      </c>
      <c r="M64" s="208">
        <f t="shared" si="96"/>
        <v>0</v>
      </c>
      <c r="N64" s="208" t="e">
        <f t="shared" si="96"/>
        <v>#REF!</v>
      </c>
      <c r="O64" s="209">
        <f t="shared" si="96"/>
        <v>0</v>
      </c>
      <c r="P64" s="209">
        <f t="shared" si="77"/>
        <v>0</v>
      </c>
      <c r="Q64" s="198">
        <v>0</v>
      </c>
      <c r="R64" s="198">
        <v>0</v>
      </c>
      <c r="S64" s="199">
        <f t="shared" si="78"/>
        <v>0</v>
      </c>
      <c r="T64" s="200">
        <f t="shared" si="97"/>
        <v>0</v>
      </c>
      <c r="U64" s="200" t="e">
        <f t="shared" si="97"/>
        <v>#REF!</v>
      </c>
      <c r="V64" s="201">
        <f t="shared" si="97"/>
        <v>0</v>
      </c>
      <c r="W64" s="184">
        <f t="shared" si="90"/>
        <v>0</v>
      </c>
      <c r="X64" s="202">
        <v>0</v>
      </c>
      <c r="Y64" s="202"/>
      <c r="Z64" s="203">
        <f t="shared" si="79"/>
        <v>0</v>
      </c>
      <c r="AA64" s="204">
        <f t="shared" si="98"/>
        <v>0</v>
      </c>
      <c r="AB64" s="204" t="e">
        <f t="shared" si="98"/>
        <v>#REF!</v>
      </c>
      <c r="AC64" s="205">
        <f t="shared" si="98"/>
        <v>0</v>
      </c>
      <c r="AD64" s="188">
        <f t="shared" si="91"/>
        <v>0</v>
      </c>
      <c r="AE64" s="206">
        <v>0</v>
      </c>
      <c r="AF64" s="206">
        <v>0</v>
      </c>
      <c r="AG64" s="207">
        <f t="shared" si="80"/>
        <v>0</v>
      </c>
      <c r="AH64" s="208">
        <f t="shared" si="99"/>
        <v>0</v>
      </c>
      <c r="AI64" s="208" t="e">
        <f t="shared" si="99"/>
        <v>#REF!</v>
      </c>
      <c r="AJ64" s="209">
        <f t="shared" si="99"/>
        <v>0</v>
      </c>
      <c r="AK64" s="192">
        <f t="shared" si="92"/>
        <v>0</v>
      </c>
      <c r="AL64" s="198">
        <v>0</v>
      </c>
      <c r="AM64" s="198">
        <v>0</v>
      </c>
      <c r="AN64" s="199">
        <f t="shared" si="81"/>
        <v>0</v>
      </c>
      <c r="AO64" s="200">
        <f t="shared" si="100"/>
        <v>0</v>
      </c>
      <c r="AP64" s="200" t="e">
        <f t="shared" si="100"/>
        <v>#REF!</v>
      </c>
      <c r="AQ64" s="201">
        <f t="shared" si="100"/>
        <v>0</v>
      </c>
      <c r="AR64" s="183">
        <f t="shared" si="93"/>
        <v>0</v>
      </c>
      <c r="AS64" s="202">
        <v>0</v>
      </c>
      <c r="AT64" s="202">
        <v>0</v>
      </c>
      <c r="AU64" s="203">
        <f t="shared" si="82"/>
        <v>0</v>
      </c>
      <c r="AV64" s="1202">
        <f t="shared" si="18"/>
        <v>0</v>
      </c>
      <c r="AW64" s="210">
        <f t="shared" si="83"/>
        <v>0</v>
      </c>
      <c r="AX64" s="196" t="str">
        <f t="shared" si="7"/>
        <v/>
      </c>
      <c r="BB64" s="98">
        <f t="shared" si="84"/>
        <v>0</v>
      </c>
      <c r="BC64" s="968">
        <f t="shared" si="19"/>
        <v>0</v>
      </c>
      <c r="BF64" s="112" t="e">
        <f t="shared" si="94"/>
        <v>#REF!</v>
      </c>
      <c r="BG64" s="117" t="e">
        <f t="shared" si="85"/>
        <v>#REF!</v>
      </c>
      <c r="BH64" s="112" t="e">
        <f t="shared" si="86"/>
        <v>#REF!</v>
      </c>
      <c r="BI64" s="117" t="e">
        <f t="shared" si="87"/>
        <v>#REF!</v>
      </c>
      <c r="BJ64" s="98" t="e">
        <f t="shared" si="95"/>
        <v>#REF!</v>
      </c>
    </row>
    <row r="65" spans="1:62" s="219" customFormat="1" collapsed="1">
      <c r="A65" s="1205" t="s">
        <v>499</v>
      </c>
      <c r="B65" s="1206"/>
      <c r="C65" s="1206">
        <f>C52*AV52+AV53*C53+AV54*C54+AV55*C55+AV56*C56+AV57*C57+AV58*C58+AV59*C59+AV60*C60+AV61*C61+AV62*C62+AV63*C63+AV64*C64</f>
        <v>0</v>
      </c>
      <c r="D65" s="1206"/>
      <c r="E65" s="222"/>
      <c r="F65" s="1206">
        <f>SUM(F52:F64)</f>
        <v>0</v>
      </c>
      <c r="G65" s="1206">
        <f>SUM(G52:G64)</f>
        <v>0</v>
      </c>
      <c r="H65" s="1206">
        <f>SUM(H52:H64)</f>
        <v>0</v>
      </c>
      <c r="I65" s="1206">
        <f>SUM(I52:I64)</f>
        <v>0</v>
      </c>
      <c r="J65" s="211">
        <f>SUM(J52:J64)</f>
        <v>0</v>
      </c>
      <c r="K65" s="211">
        <f>K52*J52+K53*J53+K59*J59+K60*J60+K61*J61+K62*J62+K63*J63+K64*J64+K54*J54+K55*J55+K56*J56+K57*J57+K58*J58</f>
        <v>0</v>
      </c>
      <c r="L65" s="211"/>
      <c r="M65" s="212"/>
      <c r="N65" s="212"/>
      <c r="O65" s="212"/>
      <c r="P65" s="212"/>
      <c r="Q65" s="213">
        <f>SUM(Q52:Q64)</f>
        <v>0</v>
      </c>
      <c r="R65" s="213">
        <f>R52*Q52+R53*Q53+R59*Q59+R60*Q60+R61*Q61+R62*Q62+R63*Q63+R64*Q64+R54*Q54+R55*Q55+R56*Q56+R57*Q57+R58*Q58</f>
        <v>0</v>
      </c>
      <c r="S65" s="213"/>
      <c r="T65" s="214"/>
      <c r="U65" s="214"/>
      <c r="V65" s="214"/>
      <c r="W65" s="214"/>
      <c r="X65" s="215">
        <f>SUM(X52:X64)</f>
        <v>0</v>
      </c>
      <c r="Y65" s="215">
        <f>Y52*X52+Y53*X53+Y59*X59+Y60*X60+Y61*X61+Y62*X62+Y63*X63+Y64*X64+Y54*X54+Y55*X55+Y56*X56+Y57*X57+Y58*X58</f>
        <v>0</v>
      </c>
      <c r="Z65" s="215"/>
      <c r="AA65" s="216"/>
      <c r="AB65" s="216"/>
      <c r="AC65" s="216"/>
      <c r="AD65" s="216"/>
      <c r="AE65" s="211">
        <f>SUM(AE52:AE64)</f>
        <v>0</v>
      </c>
      <c r="AF65" s="211">
        <f>AF52*AE52+AF53*AE53+AF59*AE59+AF60*AE60+AF61*AE61+AF62*AE62+AF63*AE63+AF64*AE64+AF54*AE54+AF55*AE55+AF56*AE56+AF57*AE57+AF58*AE58</f>
        <v>0</v>
      </c>
      <c r="AG65" s="211"/>
      <c r="AH65" s="212"/>
      <c r="AI65" s="212"/>
      <c r="AJ65" s="212"/>
      <c r="AK65" s="212"/>
      <c r="AL65" s="213">
        <f>SUM(AL52:AL64)</f>
        <v>0</v>
      </c>
      <c r="AM65" s="213">
        <f>AM52*AL52+AM53*AL53+AM59*AL59+AM60*AL60+AM61*AL61+AM62*AL62+AM63*AL63+AM64*AL64+AM54*AL54+AM55*AL55+AM56*AL56+AM57*AL57+AM58*AL58</f>
        <v>0</v>
      </c>
      <c r="AN65" s="213"/>
      <c r="AO65" s="214"/>
      <c r="AP65" s="214"/>
      <c r="AQ65" s="214"/>
      <c r="AR65" s="214"/>
      <c r="AS65" s="215">
        <f>SUM(AS52:AS64)</f>
        <v>0</v>
      </c>
      <c r="AT65" s="215">
        <f>AT52*AS52+AT53*AS53+AT59*AS59+AT60*AS60+AT61*AS61+AT62*AS62+AT63*AS63+AT64*AS64+AT54*AS54+AT55*AS55+AT56*AS56+AT57*AS57+AT58*AS58</f>
        <v>0</v>
      </c>
      <c r="AU65" s="215"/>
      <c r="AV65" s="1202">
        <f t="shared" si="18"/>
        <v>0</v>
      </c>
      <c r="AW65" s="217">
        <f>AF65+AT65+Y65+R65+K65+AM65</f>
        <v>0</v>
      </c>
      <c r="AX65" s="1206" t="str">
        <f t="shared" si="7"/>
        <v/>
      </c>
      <c r="AY65" s="218"/>
      <c r="AZ65" s="218"/>
      <c r="BA65" s="218"/>
      <c r="BB65" s="1207">
        <f>SUM(BB52:BB64)</f>
        <v>0</v>
      </c>
      <c r="BC65" s="218">
        <f>SUM(BC52:BC64)</f>
        <v>0</v>
      </c>
      <c r="BD65" s="218"/>
      <c r="BE65" s="218"/>
      <c r="BF65" s="220"/>
      <c r="BG65" s="221"/>
      <c r="BH65" s="220"/>
      <c r="BI65" s="221"/>
      <c r="BJ65" s="1207"/>
    </row>
    <row r="66" spans="1:62">
      <c r="A66" s="175">
        <v>4</v>
      </c>
      <c r="B66" s="195" t="s">
        <v>500</v>
      </c>
      <c r="C66" s="1203">
        <v>1400</v>
      </c>
      <c r="D66" s="1204">
        <v>2</v>
      </c>
      <c r="E66" s="196">
        <f>Setup!Q49</f>
        <v>0</v>
      </c>
      <c r="F66" s="197">
        <v>0</v>
      </c>
      <c r="G66" s="179">
        <f>IF(Setup!$L$8="No",0,J66+Q66+X66+AE66)+IF(Setup!$R$21="No",0,'Units&amp;Income'!AL66)</f>
        <v>0</v>
      </c>
      <c r="H66" s="179"/>
      <c r="I66" s="179">
        <f>IF(Sources!$D$10&gt;0,J66+Q66+X66+AE66,IF(Sources!$D$11&gt;0,H66,0))</f>
        <v>0</v>
      </c>
      <c r="J66" s="206">
        <v>0</v>
      </c>
      <c r="K66" s="206">
        <v>0</v>
      </c>
      <c r="L66" s="207">
        <f t="shared" ref="L66:L78" si="101">E66+K66</f>
        <v>0</v>
      </c>
      <c r="M66" s="208">
        <f>IF($C$7=Max_Limits!$A$8,Max_Limits!#REF!/12*0.3*K$8,IF($C$7=Max_Limits!$A$9,Max_Limits!$G$9/12*0.3*K$8,IF('Units&amp;Income'!$C$7=Max_Limits!$A$10,Max_Limits!$G$10/12*0.3*K$8,IF('Units&amp;Income'!$C$7=Max_Limits!$A$11,Max_Limits!$G$11/12*0.3*K$8,IF('Units&amp;Income'!$C$7=Max_Limits!$A$12,Max_Limits!$G$12/12*0.3*K$8,IF('Units&amp;Income'!$C$7=Max_Limits!$A$13,Max_Limits!$G$13/12*0.3*K$8,IF($C$7=Max_Limits!$A$14,Max_Limits!$G$14/12*0.3*'Units&amp;Income'!K$8,IF('Units&amp;Income'!$C$7=Max_Limits!$A$15,Max_Limits!$G$8/12*0.3*'Units&amp;Income'!K$8,0))))))))</f>
        <v>0</v>
      </c>
      <c r="N66" s="208" t="e">
        <f>IF($C$7=Max_Limits!#REF!,Max_Limits!#REF!,IF($C$7=Max_Limits!#REF!,Max_Limits!#REF!,IF($C$7=Max_Limits!#REF!,Max_Limits!#REF!,IF($C$7=Max_Limits!#REF!,Max_Limits!#REF!,IF(D61=Max_Limits!#REF!,Max_Limits!#REF!,IF($C$7=Max_Limits!#REF!,Max_Limits!#REF!,IF($C$7=Max_Limits!#REF!,Max_Limits!#REF!, IF(D61=Max_Limits!#REF!,Max_Limits!#REF!,0))))))))</f>
        <v>#REF!</v>
      </c>
      <c r="O66" s="209">
        <f>IF(SUM($F$1:$F$2)=1,M66,IF(SUM($F$1:$F$2)=2,BF66, IF(SUM($F$1:$F$2)=3,N66,"None")))</f>
        <v>0</v>
      </c>
      <c r="P66" s="209">
        <f t="shared" ref="P66:P78" si="102">IF(O66="None",0,IF(K66&gt;0,O66-L66,0))</f>
        <v>0</v>
      </c>
      <c r="Q66" s="198">
        <v>0</v>
      </c>
      <c r="R66" s="198">
        <v>750</v>
      </c>
      <c r="S66" s="199">
        <f t="shared" ref="S66:S78" si="103">$E66+R66</f>
        <v>750</v>
      </c>
      <c r="T66" s="200">
        <f>IF($C$7=Max_Limits!$A$8,Max_Limits!#REF!/12*0.3*R$8,IF($C$7=Max_Limits!$A$9,Max_Limits!$G$9/12*0.3*R$8,IF('Units&amp;Income'!$C$7=Max_Limits!$A$10,Max_Limits!$G$10/12*0.3*R$8,IF('Units&amp;Income'!$C$7=Max_Limits!$A$11,Max_Limits!$G$11/12*0.3*R$8,IF('Units&amp;Income'!$C$7=Max_Limits!$A$12,Max_Limits!$G$12/12*0.3*R$8,IF('Units&amp;Income'!$C$7=Max_Limits!$A$13,Max_Limits!$G$13/12*0.3*R$8,IF($C$7=Max_Limits!$A$14,Max_Limits!$G$14/12*0.3*'Units&amp;Income'!R$8,IF('Units&amp;Income'!$C$7=Max_Limits!$A$15,Max_Limits!$G$8/12*0.3*'Units&amp;Income'!R$8,0))))))))</f>
        <v>0</v>
      </c>
      <c r="U66" s="200" t="e">
        <f>N66</f>
        <v>#REF!</v>
      </c>
      <c r="V66" s="201">
        <f>IF(SUM($F$1:$F$2)=1,T66,IF(SUM($F$1:$F$2)=2,BG66, IF(SUM($F$1:$F$2)=3,U66,"None")))</f>
        <v>0</v>
      </c>
      <c r="W66" s="184">
        <f>IF(V66="None",0,IF(R66&gt;0,V66-S66,0))</f>
        <v>-750</v>
      </c>
      <c r="X66" s="202">
        <v>0</v>
      </c>
      <c r="Y66" s="206">
        <v>0</v>
      </c>
      <c r="Z66" s="203">
        <f t="shared" ref="Z66:Z78" si="104">$E66+Y66</f>
        <v>0</v>
      </c>
      <c r="AA66" s="204">
        <f>IF($C$7=Max_Limits!$A$8,Max_Limits!#REF!/12*0.3*Y$8,IF($C$7=Max_Limits!$A$9,Max_Limits!$G$9/12*0.3*Y$8,IF('Units&amp;Income'!$C$7=Max_Limits!$A$10,Max_Limits!$G$10/12*0.3*Y$8,IF('Units&amp;Income'!$C$7=Max_Limits!$A$11,Max_Limits!$G$11/12*0.3*Y$8,IF('Units&amp;Income'!$C$7=Max_Limits!$A$12,Max_Limits!$G$12/12*0.3*Y$8,IF('Units&amp;Income'!$C$7=Max_Limits!$A$13,Max_Limits!$G$13/12*0.3*Y$8,IF($C$7=Max_Limits!$A$14,Max_Limits!$G$14/12*0.3*'Units&amp;Income'!Y$8,IF('Units&amp;Income'!$C$7=Max_Limits!$A$15,Max_Limits!$G$8/12*0.3*'Units&amp;Income'!Y$8,0))))))))</f>
        <v>0</v>
      </c>
      <c r="AB66" s="204" t="e">
        <f>U66</f>
        <v>#REF!</v>
      </c>
      <c r="AC66" s="205">
        <f>IF(SUM($F$1:$F$2)=1,AA66,IF(SUM($F$1:$F$2)=2,BH66, IF(SUM($F$1:$F$2)=3,AB66,"None")))</f>
        <v>0</v>
      </c>
      <c r="AD66" s="188">
        <f>IF(AC66="None",0,IF(Y66&gt;0,AC66-Z66,0))</f>
        <v>0</v>
      </c>
      <c r="AE66" s="206">
        <v>0</v>
      </c>
      <c r="AF66" s="206">
        <v>0</v>
      </c>
      <c r="AG66" s="207">
        <f t="shared" ref="AG66:AG78" si="105">$E66+AF66</f>
        <v>0</v>
      </c>
      <c r="AH66" s="208">
        <f>IF($C$7=Max_Limits!$A$8,Max_Limits!#REF!/12*0.3*AF$8,IF($C$7=Max_Limits!$A$9,Max_Limits!$G$9/12*0.3*AF$8,IF('Units&amp;Income'!$C$7=Max_Limits!$A$10,Max_Limits!$G$10/12*0.3*AF$8,IF('Units&amp;Income'!$C$7=Max_Limits!$A$11,Max_Limits!$G$11/12*0.3*AF$8,IF('Units&amp;Income'!$C$7=Max_Limits!$A$12,Max_Limits!$G$12/12*0.3*AF$8,IF('Units&amp;Income'!$C$7=Max_Limits!$A$13,Max_Limits!$G$13/12*0.3*AF$8,IF($C$7=Max_Limits!$A$14,Max_Limits!$G$14/12*0.3*'Units&amp;Income'!AF$8,IF('Units&amp;Income'!$C$7=Max_Limits!$A$15,Max_Limits!$G$8/12*0.3*'Units&amp;Income'!AF$8,0))))))))</f>
        <v>0</v>
      </c>
      <c r="AI66" s="208" t="e">
        <f>AB66</f>
        <v>#REF!</v>
      </c>
      <c r="AJ66" s="209">
        <f>IF(SUM($F$1:$F$2)=1,AH66,IF(SUM($F$1:$F$2)=2,BI66, IF(SUM($F$1:$F$2)=3,AI66,"None")))</f>
        <v>0</v>
      </c>
      <c r="AK66" s="192">
        <f>IF(AJ66="None",0,IF(AF66&gt;0,AJ66-AG66,0))</f>
        <v>0</v>
      </c>
      <c r="AL66" s="198">
        <v>0</v>
      </c>
      <c r="AM66" s="206">
        <v>0</v>
      </c>
      <c r="AN66" s="199">
        <f t="shared" ref="AN66:AN78" si="106">$E66+AM66</f>
        <v>0</v>
      </c>
      <c r="AO66" s="200">
        <f>IF($C$7=Max_Limits!$A$8,Max_Limits!#REF!/12*0.3*AM$8,IF($C$7=Max_Limits!$A$9,Max_Limits!$G$9/12*0.3*AM$8,IF('Units&amp;Income'!$C$7=Max_Limits!$A$10,Max_Limits!$G$10/12*0.3*AM$8,IF('Units&amp;Income'!$C$7=Max_Limits!$A$11,Max_Limits!$G$11/12*0.3*AM$8,IF('Units&amp;Income'!$C$7=Max_Limits!$A$12,Max_Limits!$G$12/12*0.3*AM$8,IF('Units&amp;Income'!$C$7=Max_Limits!$A$13,Max_Limits!$G$13/12*0.3*AM$8,IF($C$7=Max_Limits!$A$14,Max_Limits!$G$14/12*0.3*'Units&amp;Income'!AM$8,IF('Units&amp;Income'!$C$7=Max_Limits!$A$15,Max_Limits!$G$8/12*0.3*'Units&amp;Income'!AM$8,0))))))))</f>
        <v>0</v>
      </c>
      <c r="AP66" s="200" t="e">
        <f>AI66</f>
        <v>#REF!</v>
      </c>
      <c r="AQ66" s="201">
        <f>IF(SUM($F$1:$F$2)=1,AO66,IF(SUM($F$1:$F$2)=2,BJ66, IF(SUM($F$1:$F$2)=3,AP66,"None")))</f>
        <v>0</v>
      </c>
      <c r="AR66" s="183">
        <f>IF(AQ66="None",0,IF(AM66&gt;0,AQ66-AN66,0))</f>
        <v>0</v>
      </c>
      <c r="AS66" s="202">
        <v>0</v>
      </c>
      <c r="AT66" s="202">
        <v>0</v>
      </c>
      <c r="AU66" s="203">
        <f t="shared" ref="AU66:AU78" si="107">$E66+AT66</f>
        <v>0</v>
      </c>
      <c r="AV66" s="1202">
        <f t="shared" si="18"/>
        <v>0</v>
      </c>
      <c r="AW66" s="210">
        <f t="shared" ref="AW66:AW78" si="108">J66*K66+Q66*R66+X66*Y66+AE66*AF66+AS66*AT66</f>
        <v>0</v>
      </c>
      <c r="AX66" s="196" t="str">
        <f t="shared" si="7"/>
        <v/>
      </c>
      <c r="BB66" s="98">
        <f t="shared" ref="BB66:BB78" si="109">G66*C66</f>
        <v>0</v>
      </c>
      <c r="BC66" s="968">
        <f t="shared" si="19"/>
        <v>0</v>
      </c>
      <c r="BF66" s="112" t="e">
        <f>IF(M66&gt;N66,N66,M66)</f>
        <v>#REF!</v>
      </c>
      <c r="BG66" s="117" t="e">
        <f t="shared" ref="BG66:BG78" si="110">IF(T66&gt;U66,U66,T66)</f>
        <v>#REF!</v>
      </c>
      <c r="BH66" s="112" t="e">
        <f t="shared" ref="BH66:BH78" si="111">IF(AA66&gt;AB66,AB66,AA66)</f>
        <v>#REF!</v>
      </c>
      <c r="BI66" s="117" t="e">
        <f t="shared" ref="BI66:BI78" si="112">IF(AH66&gt;AI66,AI66,AH66)</f>
        <v>#REF!</v>
      </c>
      <c r="BJ66" s="98" t="e">
        <f>IF(AO66&gt;AP66,AP66,AO66)</f>
        <v>#REF!</v>
      </c>
    </row>
    <row r="67" spans="1:62">
      <c r="A67" s="175">
        <v>4</v>
      </c>
      <c r="B67" s="195" t="s">
        <v>501</v>
      </c>
      <c r="C67" s="1203">
        <f t="shared" ref="C67:C78" si="113">C66</f>
        <v>1400</v>
      </c>
      <c r="D67" s="1204">
        <v>2</v>
      </c>
      <c r="E67" s="196">
        <f t="shared" ref="E67:E78" si="114">E66</f>
        <v>0</v>
      </c>
      <c r="F67" s="197">
        <v>0</v>
      </c>
      <c r="G67" s="179">
        <f>IF(Setup!$L$8="No",0,J67+Q67+X67+AE67)+IF(Setup!$R$21="No",0,'Units&amp;Income'!AL67)</f>
        <v>0</v>
      </c>
      <c r="H67" s="179"/>
      <c r="I67" s="179">
        <f>IF(Sources!$D$10&gt;0,J67+Q67+X67+AE67,IF(Sources!$D$11&gt;0,H67,0))</f>
        <v>0</v>
      </c>
      <c r="J67" s="206">
        <v>0</v>
      </c>
      <c r="K67" s="206">
        <v>0</v>
      </c>
      <c r="L67" s="207">
        <f t="shared" si="101"/>
        <v>0</v>
      </c>
      <c r="M67" s="208">
        <f>M66</f>
        <v>0</v>
      </c>
      <c r="N67" s="208" t="e">
        <f>N66</f>
        <v>#REF!</v>
      </c>
      <c r="O67" s="209">
        <f>O66</f>
        <v>0</v>
      </c>
      <c r="P67" s="209">
        <f t="shared" si="102"/>
        <v>0</v>
      </c>
      <c r="Q67" s="198">
        <v>0</v>
      </c>
      <c r="R67" s="198">
        <v>800</v>
      </c>
      <c r="S67" s="199">
        <f t="shared" si="103"/>
        <v>800</v>
      </c>
      <c r="T67" s="200">
        <f>T66</f>
        <v>0</v>
      </c>
      <c r="U67" s="200" t="e">
        <f>U66</f>
        <v>#REF!</v>
      </c>
      <c r="V67" s="201">
        <f>V66</f>
        <v>0</v>
      </c>
      <c r="W67" s="184">
        <f t="shared" ref="W67:W78" si="115">IF(V67="None",0,IF(R67&gt;0,V67-S67,0))</f>
        <v>-800</v>
      </c>
      <c r="X67" s="202">
        <v>0</v>
      </c>
      <c r="Y67" s="206">
        <v>0</v>
      </c>
      <c r="Z67" s="203">
        <f t="shared" si="104"/>
        <v>0</v>
      </c>
      <c r="AA67" s="204">
        <f>AA66</f>
        <v>0</v>
      </c>
      <c r="AB67" s="204" t="e">
        <f>AB66</f>
        <v>#REF!</v>
      </c>
      <c r="AC67" s="205">
        <f>AC66</f>
        <v>0</v>
      </c>
      <c r="AD67" s="188">
        <f t="shared" ref="AD67:AD78" si="116">IF(AC67="None",0,IF(Y67&gt;0,AC67-Z67,0))</f>
        <v>0</v>
      </c>
      <c r="AE67" s="206">
        <v>0</v>
      </c>
      <c r="AF67" s="206">
        <v>0</v>
      </c>
      <c r="AG67" s="207">
        <f t="shared" si="105"/>
        <v>0</v>
      </c>
      <c r="AH67" s="208">
        <f>AH66</f>
        <v>0</v>
      </c>
      <c r="AI67" s="208" t="e">
        <f>AI66</f>
        <v>#REF!</v>
      </c>
      <c r="AJ67" s="209">
        <f>AJ66</f>
        <v>0</v>
      </c>
      <c r="AK67" s="192">
        <f t="shared" ref="AK67:AK78" si="117">IF(AJ67="None",0,IF(AF67&gt;0,AJ67-AG67,0))</f>
        <v>0</v>
      </c>
      <c r="AL67" s="198">
        <v>0</v>
      </c>
      <c r="AM67" s="206">
        <v>0</v>
      </c>
      <c r="AN67" s="199">
        <f t="shared" si="106"/>
        <v>0</v>
      </c>
      <c r="AO67" s="200">
        <f>AO66</f>
        <v>0</v>
      </c>
      <c r="AP67" s="200" t="e">
        <f>AP66</f>
        <v>#REF!</v>
      </c>
      <c r="AQ67" s="201">
        <f>AQ66</f>
        <v>0</v>
      </c>
      <c r="AR67" s="183">
        <f t="shared" ref="AR67:AR78" si="118">IF(AQ67="None",0,IF(AM67&gt;0,AQ67-AN67,0))</f>
        <v>0</v>
      </c>
      <c r="AS67" s="202">
        <v>0</v>
      </c>
      <c r="AT67" s="202">
        <v>0</v>
      </c>
      <c r="AU67" s="203">
        <f t="shared" si="107"/>
        <v>0</v>
      </c>
      <c r="AV67" s="1202">
        <f t="shared" si="18"/>
        <v>0</v>
      </c>
      <c r="AW67" s="210">
        <f t="shared" si="108"/>
        <v>0</v>
      </c>
      <c r="AX67" s="196" t="str">
        <f t="shared" si="7"/>
        <v/>
      </c>
      <c r="BB67" s="98">
        <f t="shared" si="109"/>
        <v>0</v>
      </c>
      <c r="BC67" s="968">
        <f t="shared" si="19"/>
        <v>0</v>
      </c>
      <c r="BF67" s="112" t="e">
        <f t="shared" ref="BF67:BF78" si="119">IF(M67&gt;N67,N67,M67)</f>
        <v>#REF!</v>
      </c>
      <c r="BG67" s="117" t="e">
        <f t="shared" si="110"/>
        <v>#REF!</v>
      </c>
      <c r="BH67" s="112" t="e">
        <f t="shared" si="111"/>
        <v>#REF!</v>
      </c>
      <c r="BI67" s="117" t="e">
        <f t="shared" si="112"/>
        <v>#REF!</v>
      </c>
      <c r="BJ67" s="98" t="e">
        <f t="shared" ref="BJ67:BJ78" si="120">IF(AO67&gt;AP67,AP67,AO67)</f>
        <v>#REF!</v>
      </c>
    </row>
    <row r="68" spans="1:62">
      <c r="A68" s="175">
        <v>4</v>
      </c>
      <c r="B68" s="195" t="s">
        <v>502</v>
      </c>
      <c r="C68" s="1203">
        <f t="shared" si="113"/>
        <v>1400</v>
      </c>
      <c r="D68" s="1204">
        <v>2</v>
      </c>
      <c r="E68" s="196">
        <f t="shared" si="114"/>
        <v>0</v>
      </c>
      <c r="F68" s="197">
        <v>0</v>
      </c>
      <c r="G68" s="179">
        <f>IF(Setup!$L$8="No",0,J68+Q68+X68+AE68)+IF(Setup!$R$21="No",0,'Units&amp;Income'!AL68)</f>
        <v>0</v>
      </c>
      <c r="H68" s="179"/>
      <c r="I68" s="179">
        <f>IF(Sources!$D$10&gt;0,J68+Q68+X68+AE68,IF(Sources!$D$11&gt;0,H68,0))</f>
        <v>0</v>
      </c>
      <c r="J68" s="206">
        <v>0</v>
      </c>
      <c r="K68" s="206">
        <v>0</v>
      </c>
      <c r="L68" s="207">
        <f t="shared" si="101"/>
        <v>0</v>
      </c>
      <c r="M68" s="208">
        <f t="shared" ref="M68:O78" si="121">M67</f>
        <v>0</v>
      </c>
      <c r="N68" s="208" t="e">
        <f t="shared" si="121"/>
        <v>#REF!</v>
      </c>
      <c r="O68" s="209">
        <f t="shared" si="121"/>
        <v>0</v>
      </c>
      <c r="P68" s="209">
        <f t="shared" si="102"/>
        <v>0</v>
      </c>
      <c r="Q68" s="198">
        <v>0</v>
      </c>
      <c r="R68" s="198">
        <v>0</v>
      </c>
      <c r="S68" s="199">
        <f t="shared" si="103"/>
        <v>0</v>
      </c>
      <c r="T68" s="200">
        <f t="shared" ref="T68:V78" si="122">T67</f>
        <v>0</v>
      </c>
      <c r="U68" s="200" t="e">
        <f t="shared" si="122"/>
        <v>#REF!</v>
      </c>
      <c r="V68" s="201">
        <f t="shared" si="122"/>
        <v>0</v>
      </c>
      <c r="W68" s="184">
        <f t="shared" si="115"/>
        <v>0</v>
      </c>
      <c r="X68" s="202">
        <v>0</v>
      </c>
      <c r="Y68" s="202"/>
      <c r="Z68" s="203">
        <f t="shared" si="104"/>
        <v>0</v>
      </c>
      <c r="AA68" s="204">
        <f t="shared" ref="AA68:AC78" si="123">AA67</f>
        <v>0</v>
      </c>
      <c r="AB68" s="204" t="e">
        <f t="shared" si="123"/>
        <v>#REF!</v>
      </c>
      <c r="AC68" s="205">
        <f t="shared" si="123"/>
        <v>0</v>
      </c>
      <c r="AD68" s="188">
        <f t="shared" si="116"/>
        <v>0</v>
      </c>
      <c r="AE68" s="206">
        <v>0</v>
      </c>
      <c r="AF68" s="206">
        <v>0</v>
      </c>
      <c r="AG68" s="207">
        <f t="shared" si="105"/>
        <v>0</v>
      </c>
      <c r="AH68" s="208">
        <f t="shared" ref="AH68:AJ78" si="124">AH67</f>
        <v>0</v>
      </c>
      <c r="AI68" s="208" t="e">
        <f t="shared" si="124"/>
        <v>#REF!</v>
      </c>
      <c r="AJ68" s="209">
        <f t="shared" si="124"/>
        <v>0</v>
      </c>
      <c r="AK68" s="192">
        <f t="shared" si="117"/>
        <v>0</v>
      </c>
      <c r="AL68" s="198">
        <v>0</v>
      </c>
      <c r="AM68" s="198">
        <v>0</v>
      </c>
      <c r="AN68" s="199">
        <f t="shared" si="106"/>
        <v>0</v>
      </c>
      <c r="AO68" s="200">
        <f t="shared" ref="AO68:AQ78" si="125">AO67</f>
        <v>0</v>
      </c>
      <c r="AP68" s="200" t="e">
        <f t="shared" si="125"/>
        <v>#REF!</v>
      </c>
      <c r="AQ68" s="201">
        <f t="shared" si="125"/>
        <v>0</v>
      </c>
      <c r="AR68" s="183">
        <f t="shared" si="118"/>
        <v>0</v>
      </c>
      <c r="AS68" s="202">
        <v>0</v>
      </c>
      <c r="AT68" s="202">
        <v>0</v>
      </c>
      <c r="AU68" s="203">
        <f t="shared" si="107"/>
        <v>0</v>
      </c>
      <c r="AV68" s="1202">
        <f t="shared" si="18"/>
        <v>0</v>
      </c>
      <c r="AW68" s="210">
        <f t="shared" si="108"/>
        <v>0</v>
      </c>
      <c r="AX68" s="196" t="str">
        <f t="shared" si="7"/>
        <v/>
      </c>
      <c r="BB68" s="98">
        <f t="shared" si="109"/>
        <v>0</v>
      </c>
      <c r="BC68" s="968">
        <f t="shared" si="19"/>
        <v>0</v>
      </c>
      <c r="BF68" s="112" t="e">
        <f t="shared" si="119"/>
        <v>#REF!</v>
      </c>
      <c r="BG68" s="117" t="e">
        <f t="shared" si="110"/>
        <v>#REF!</v>
      </c>
      <c r="BH68" s="112" t="e">
        <f t="shared" si="111"/>
        <v>#REF!</v>
      </c>
      <c r="BI68" s="117" t="e">
        <f t="shared" si="112"/>
        <v>#REF!</v>
      </c>
      <c r="BJ68" s="98" t="e">
        <f t="shared" si="120"/>
        <v>#REF!</v>
      </c>
    </row>
    <row r="69" spans="1:62">
      <c r="A69" s="175">
        <v>4</v>
      </c>
      <c r="B69" s="195" t="s">
        <v>503</v>
      </c>
      <c r="C69" s="1203">
        <f t="shared" si="113"/>
        <v>1400</v>
      </c>
      <c r="D69" s="1204">
        <v>2</v>
      </c>
      <c r="E69" s="196">
        <f t="shared" si="114"/>
        <v>0</v>
      </c>
      <c r="F69" s="197">
        <v>0</v>
      </c>
      <c r="G69" s="179">
        <f>IF(Setup!$L$8="No",0,J69+Q69+X69+AE69)+IF(Setup!$R$21="No",0,'Units&amp;Income'!AL69)</f>
        <v>0</v>
      </c>
      <c r="H69" s="179"/>
      <c r="I69" s="179">
        <f>IF(Sources!$D$10&gt;0,J69+Q69+X69+AE69,IF(Sources!$D$11&gt;0,H69,0))</f>
        <v>0</v>
      </c>
      <c r="J69" s="206">
        <v>0</v>
      </c>
      <c r="K69" s="206">
        <v>0</v>
      </c>
      <c r="L69" s="207">
        <f t="shared" si="101"/>
        <v>0</v>
      </c>
      <c r="M69" s="208">
        <f t="shared" si="121"/>
        <v>0</v>
      </c>
      <c r="N69" s="208" t="e">
        <f t="shared" si="121"/>
        <v>#REF!</v>
      </c>
      <c r="O69" s="209">
        <f t="shared" si="121"/>
        <v>0</v>
      </c>
      <c r="P69" s="209">
        <f t="shared" si="102"/>
        <v>0</v>
      </c>
      <c r="Q69" s="198">
        <v>0</v>
      </c>
      <c r="R69" s="198">
        <v>0</v>
      </c>
      <c r="S69" s="199">
        <f t="shared" si="103"/>
        <v>0</v>
      </c>
      <c r="T69" s="200">
        <f t="shared" si="122"/>
        <v>0</v>
      </c>
      <c r="U69" s="200" t="e">
        <f t="shared" si="122"/>
        <v>#REF!</v>
      </c>
      <c r="V69" s="201">
        <f t="shared" si="122"/>
        <v>0</v>
      </c>
      <c r="W69" s="184">
        <f t="shared" si="115"/>
        <v>0</v>
      </c>
      <c r="X69" s="202">
        <v>0</v>
      </c>
      <c r="Y69" s="202">
        <v>0</v>
      </c>
      <c r="Z69" s="203">
        <f t="shared" si="104"/>
        <v>0</v>
      </c>
      <c r="AA69" s="204">
        <f t="shared" si="123"/>
        <v>0</v>
      </c>
      <c r="AB69" s="204" t="e">
        <f t="shared" si="123"/>
        <v>#REF!</v>
      </c>
      <c r="AC69" s="205">
        <f t="shared" si="123"/>
        <v>0</v>
      </c>
      <c r="AD69" s="188">
        <f t="shared" si="116"/>
        <v>0</v>
      </c>
      <c r="AE69" s="206">
        <v>0</v>
      </c>
      <c r="AF69" s="206">
        <v>0</v>
      </c>
      <c r="AG69" s="207">
        <f t="shared" si="105"/>
        <v>0</v>
      </c>
      <c r="AH69" s="208">
        <f t="shared" si="124"/>
        <v>0</v>
      </c>
      <c r="AI69" s="208" t="e">
        <f t="shared" si="124"/>
        <v>#REF!</v>
      </c>
      <c r="AJ69" s="209">
        <f t="shared" si="124"/>
        <v>0</v>
      </c>
      <c r="AK69" s="192">
        <f t="shared" si="117"/>
        <v>0</v>
      </c>
      <c r="AL69" s="198">
        <v>0</v>
      </c>
      <c r="AM69" s="198">
        <v>0</v>
      </c>
      <c r="AN69" s="199">
        <f t="shared" si="106"/>
        <v>0</v>
      </c>
      <c r="AO69" s="200">
        <f t="shared" si="125"/>
        <v>0</v>
      </c>
      <c r="AP69" s="200" t="e">
        <f t="shared" si="125"/>
        <v>#REF!</v>
      </c>
      <c r="AQ69" s="201">
        <f t="shared" si="125"/>
        <v>0</v>
      </c>
      <c r="AR69" s="183">
        <f t="shared" si="118"/>
        <v>0</v>
      </c>
      <c r="AS69" s="202">
        <v>0</v>
      </c>
      <c r="AT69" s="202">
        <v>0</v>
      </c>
      <c r="AU69" s="203">
        <f t="shared" si="107"/>
        <v>0</v>
      </c>
      <c r="AV69" s="1202">
        <f t="shared" si="18"/>
        <v>0</v>
      </c>
      <c r="AW69" s="210">
        <f t="shared" si="108"/>
        <v>0</v>
      </c>
      <c r="AX69" s="196" t="str">
        <f t="shared" si="7"/>
        <v/>
      </c>
      <c r="BB69" s="98">
        <f t="shared" si="109"/>
        <v>0</v>
      </c>
      <c r="BC69" s="968">
        <f t="shared" si="19"/>
        <v>0</v>
      </c>
      <c r="BF69" s="112" t="e">
        <f t="shared" si="119"/>
        <v>#REF!</v>
      </c>
      <c r="BG69" s="117" t="e">
        <f t="shared" si="110"/>
        <v>#REF!</v>
      </c>
      <c r="BH69" s="112" t="e">
        <f t="shared" si="111"/>
        <v>#REF!</v>
      </c>
      <c r="BI69" s="117" t="e">
        <f t="shared" si="112"/>
        <v>#REF!</v>
      </c>
      <c r="BJ69" s="98" t="e">
        <f t="shared" si="120"/>
        <v>#REF!</v>
      </c>
    </row>
    <row r="70" spans="1:62">
      <c r="A70" s="175">
        <v>4</v>
      </c>
      <c r="B70" s="195" t="s">
        <v>504</v>
      </c>
      <c r="C70" s="1203">
        <f t="shared" si="113"/>
        <v>1400</v>
      </c>
      <c r="D70" s="1204">
        <v>2</v>
      </c>
      <c r="E70" s="196">
        <f t="shared" si="114"/>
        <v>0</v>
      </c>
      <c r="F70" s="197">
        <v>0</v>
      </c>
      <c r="G70" s="179">
        <f>IF(Setup!$L$8="No",0,J70+Q70+X70+AE70)</f>
        <v>0</v>
      </c>
      <c r="H70" s="179"/>
      <c r="I70" s="179">
        <f>IF(Sources!$D$10&gt;0,J70+Q70+X70+AE70,IF(Sources!$D$11&gt;0,H70,0))</f>
        <v>0</v>
      </c>
      <c r="J70" s="206">
        <v>0</v>
      </c>
      <c r="K70" s="206">
        <v>0</v>
      </c>
      <c r="L70" s="207">
        <f t="shared" si="101"/>
        <v>0</v>
      </c>
      <c r="M70" s="208">
        <f t="shared" si="121"/>
        <v>0</v>
      </c>
      <c r="N70" s="208" t="e">
        <f t="shared" si="121"/>
        <v>#REF!</v>
      </c>
      <c r="O70" s="209">
        <f t="shared" si="121"/>
        <v>0</v>
      </c>
      <c r="P70" s="209">
        <f t="shared" si="102"/>
        <v>0</v>
      </c>
      <c r="Q70" s="198">
        <v>0</v>
      </c>
      <c r="R70" s="198">
        <v>0</v>
      </c>
      <c r="S70" s="199">
        <f t="shared" si="103"/>
        <v>0</v>
      </c>
      <c r="T70" s="200">
        <f t="shared" si="122"/>
        <v>0</v>
      </c>
      <c r="U70" s="200" t="e">
        <f t="shared" si="122"/>
        <v>#REF!</v>
      </c>
      <c r="V70" s="201">
        <f t="shared" si="122"/>
        <v>0</v>
      </c>
      <c r="W70" s="184">
        <f t="shared" si="115"/>
        <v>0</v>
      </c>
      <c r="X70" s="202">
        <v>0</v>
      </c>
      <c r="Y70" s="202">
        <v>0</v>
      </c>
      <c r="Z70" s="203">
        <f t="shared" si="104"/>
        <v>0</v>
      </c>
      <c r="AA70" s="204">
        <f t="shared" si="123"/>
        <v>0</v>
      </c>
      <c r="AB70" s="204" t="e">
        <f t="shared" si="123"/>
        <v>#REF!</v>
      </c>
      <c r="AC70" s="205">
        <f t="shared" si="123"/>
        <v>0</v>
      </c>
      <c r="AD70" s="188">
        <f t="shared" si="116"/>
        <v>0</v>
      </c>
      <c r="AE70" s="206">
        <v>0</v>
      </c>
      <c r="AF70" s="206">
        <v>0</v>
      </c>
      <c r="AG70" s="207">
        <f t="shared" si="105"/>
        <v>0</v>
      </c>
      <c r="AH70" s="208">
        <f t="shared" si="124"/>
        <v>0</v>
      </c>
      <c r="AI70" s="208" t="e">
        <f t="shared" si="124"/>
        <v>#REF!</v>
      </c>
      <c r="AJ70" s="209">
        <f t="shared" si="124"/>
        <v>0</v>
      </c>
      <c r="AK70" s="192">
        <f t="shared" si="117"/>
        <v>0</v>
      </c>
      <c r="AL70" s="198">
        <v>0</v>
      </c>
      <c r="AM70" s="198">
        <v>0</v>
      </c>
      <c r="AN70" s="199">
        <f t="shared" si="106"/>
        <v>0</v>
      </c>
      <c r="AO70" s="200">
        <f t="shared" si="125"/>
        <v>0</v>
      </c>
      <c r="AP70" s="200" t="e">
        <f t="shared" si="125"/>
        <v>#REF!</v>
      </c>
      <c r="AQ70" s="201">
        <f t="shared" si="125"/>
        <v>0</v>
      </c>
      <c r="AR70" s="183">
        <f t="shared" si="118"/>
        <v>0</v>
      </c>
      <c r="AS70" s="202">
        <v>0</v>
      </c>
      <c r="AT70" s="202">
        <v>0</v>
      </c>
      <c r="AU70" s="203">
        <f t="shared" si="107"/>
        <v>0</v>
      </c>
      <c r="AV70" s="1202">
        <f t="shared" si="18"/>
        <v>0</v>
      </c>
      <c r="AW70" s="210">
        <f t="shared" si="108"/>
        <v>0</v>
      </c>
      <c r="AX70" s="196" t="str">
        <f t="shared" si="7"/>
        <v/>
      </c>
      <c r="BB70" s="98">
        <f t="shared" si="109"/>
        <v>0</v>
      </c>
      <c r="BC70" s="968">
        <f t="shared" si="19"/>
        <v>0</v>
      </c>
      <c r="BF70" s="112" t="e">
        <f t="shared" si="119"/>
        <v>#REF!</v>
      </c>
      <c r="BG70" s="117" t="e">
        <f t="shared" si="110"/>
        <v>#REF!</v>
      </c>
      <c r="BH70" s="112" t="e">
        <f t="shared" si="111"/>
        <v>#REF!</v>
      </c>
      <c r="BI70" s="117" t="e">
        <f t="shared" si="112"/>
        <v>#REF!</v>
      </c>
      <c r="BJ70" s="98" t="e">
        <f t="shared" si="120"/>
        <v>#REF!</v>
      </c>
    </row>
    <row r="71" spans="1:62">
      <c r="A71" s="175">
        <v>4</v>
      </c>
      <c r="B71" s="195" t="s">
        <v>505</v>
      </c>
      <c r="C71" s="1203">
        <f t="shared" si="113"/>
        <v>1400</v>
      </c>
      <c r="D71" s="1204">
        <v>2</v>
      </c>
      <c r="E71" s="196">
        <f t="shared" si="114"/>
        <v>0</v>
      </c>
      <c r="F71" s="197">
        <v>0</v>
      </c>
      <c r="G71" s="179">
        <f>IF(Setup!$L$8="No",0,J71+Q71+X71+AE71)</f>
        <v>0</v>
      </c>
      <c r="H71" s="179"/>
      <c r="I71" s="179">
        <f>IF(Sources!$D$10&gt;0,J71+Q71+X71+AE71,IF(Sources!$D$11&gt;0,H71,0))</f>
        <v>0</v>
      </c>
      <c r="J71" s="206">
        <v>0</v>
      </c>
      <c r="K71" s="206">
        <v>0</v>
      </c>
      <c r="L71" s="207">
        <f t="shared" si="101"/>
        <v>0</v>
      </c>
      <c r="M71" s="208">
        <f t="shared" si="121"/>
        <v>0</v>
      </c>
      <c r="N71" s="208" t="e">
        <f t="shared" si="121"/>
        <v>#REF!</v>
      </c>
      <c r="O71" s="209">
        <f t="shared" si="121"/>
        <v>0</v>
      </c>
      <c r="P71" s="209">
        <f t="shared" si="102"/>
        <v>0</v>
      </c>
      <c r="Q71" s="198">
        <v>0</v>
      </c>
      <c r="R71" s="198">
        <v>0</v>
      </c>
      <c r="S71" s="199">
        <f t="shared" si="103"/>
        <v>0</v>
      </c>
      <c r="T71" s="200">
        <f t="shared" si="122"/>
        <v>0</v>
      </c>
      <c r="U71" s="200" t="e">
        <f t="shared" si="122"/>
        <v>#REF!</v>
      </c>
      <c r="V71" s="201">
        <f t="shared" si="122"/>
        <v>0</v>
      </c>
      <c r="W71" s="184">
        <f t="shared" si="115"/>
        <v>0</v>
      </c>
      <c r="X71" s="202">
        <v>0</v>
      </c>
      <c r="Y71" s="202">
        <v>0</v>
      </c>
      <c r="Z71" s="203">
        <f t="shared" si="104"/>
        <v>0</v>
      </c>
      <c r="AA71" s="204">
        <f t="shared" si="123"/>
        <v>0</v>
      </c>
      <c r="AB71" s="204" t="e">
        <f t="shared" si="123"/>
        <v>#REF!</v>
      </c>
      <c r="AC71" s="205">
        <f t="shared" si="123"/>
        <v>0</v>
      </c>
      <c r="AD71" s="188">
        <f t="shared" si="116"/>
        <v>0</v>
      </c>
      <c r="AE71" s="206">
        <v>0</v>
      </c>
      <c r="AF71" s="206">
        <v>0</v>
      </c>
      <c r="AG71" s="207">
        <f t="shared" si="105"/>
        <v>0</v>
      </c>
      <c r="AH71" s="208">
        <f t="shared" si="124"/>
        <v>0</v>
      </c>
      <c r="AI71" s="208" t="e">
        <f t="shared" si="124"/>
        <v>#REF!</v>
      </c>
      <c r="AJ71" s="209">
        <f t="shared" si="124"/>
        <v>0</v>
      </c>
      <c r="AK71" s="192">
        <f t="shared" si="117"/>
        <v>0</v>
      </c>
      <c r="AL71" s="198">
        <v>0</v>
      </c>
      <c r="AM71" s="198">
        <v>0</v>
      </c>
      <c r="AN71" s="199">
        <f t="shared" si="106"/>
        <v>0</v>
      </c>
      <c r="AO71" s="200">
        <f t="shared" si="125"/>
        <v>0</v>
      </c>
      <c r="AP71" s="200" t="e">
        <f t="shared" si="125"/>
        <v>#REF!</v>
      </c>
      <c r="AQ71" s="201">
        <f t="shared" si="125"/>
        <v>0</v>
      </c>
      <c r="AR71" s="183">
        <f t="shared" si="118"/>
        <v>0</v>
      </c>
      <c r="AS71" s="202">
        <v>0</v>
      </c>
      <c r="AT71" s="202">
        <v>0</v>
      </c>
      <c r="AU71" s="203">
        <f t="shared" si="107"/>
        <v>0</v>
      </c>
      <c r="AV71" s="1202">
        <f t="shared" si="18"/>
        <v>0</v>
      </c>
      <c r="AW71" s="210">
        <f t="shared" si="108"/>
        <v>0</v>
      </c>
      <c r="AX71" s="196" t="str">
        <f t="shared" si="7"/>
        <v/>
      </c>
      <c r="BB71" s="98">
        <f t="shared" si="109"/>
        <v>0</v>
      </c>
      <c r="BC71" s="968">
        <f t="shared" si="19"/>
        <v>0</v>
      </c>
      <c r="BF71" s="112" t="e">
        <f t="shared" si="119"/>
        <v>#REF!</v>
      </c>
      <c r="BG71" s="117" t="e">
        <f t="shared" si="110"/>
        <v>#REF!</v>
      </c>
      <c r="BH71" s="112" t="e">
        <f t="shared" si="111"/>
        <v>#REF!</v>
      </c>
      <c r="BI71" s="117" t="e">
        <f t="shared" si="112"/>
        <v>#REF!</v>
      </c>
      <c r="BJ71" s="98" t="e">
        <f t="shared" si="120"/>
        <v>#REF!</v>
      </c>
    </row>
    <row r="72" spans="1:62">
      <c r="A72" s="175">
        <v>4</v>
      </c>
      <c r="B72" s="195" t="s">
        <v>506</v>
      </c>
      <c r="C72" s="1203">
        <f t="shared" si="113"/>
        <v>1400</v>
      </c>
      <c r="D72" s="1204">
        <v>2</v>
      </c>
      <c r="E72" s="196">
        <f t="shared" si="114"/>
        <v>0</v>
      </c>
      <c r="F72" s="197">
        <v>0</v>
      </c>
      <c r="G72" s="179">
        <f>IF(Setup!$L$8="No",0,J72+Q72+X72+AE72)</f>
        <v>0</v>
      </c>
      <c r="H72" s="179"/>
      <c r="I72" s="179">
        <f>IF(Sources!$D$10&gt;0,J72+Q72+X72+AE72,IF(Sources!$D$11&gt;0,H72,0))</f>
        <v>0</v>
      </c>
      <c r="J72" s="206">
        <v>0</v>
      </c>
      <c r="K72" s="206">
        <v>0</v>
      </c>
      <c r="L72" s="207">
        <f t="shared" si="101"/>
        <v>0</v>
      </c>
      <c r="M72" s="208">
        <f t="shared" si="121"/>
        <v>0</v>
      </c>
      <c r="N72" s="208" t="e">
        <f t="shared" si="121"/>
        <v>#REF!</v>
      </c>
      <c r="O72" s="209">
        <f t="shared" si="121"/>
        <v>0</v>
      </c>
      <c r="P72" s="209">
        <f t="shared" si="102"/>
        <v>0</v>
      </c>
      <c r="Q72" s="198">
        <v>0</v>
      </c>
      <c r="R72" s="198">
        <v>0</v>
      </c>
      <c r="S72" s="199">
        <f t="shared" si="103"/>
        <v>0</v>
      </c>
      <c r="T72" s="200">
        <f t="shared" si="122"/>
        <v>0</v>
      </c>
      <c r="U72" s="200" t="e">
        <f t="shared" si="122"/>
        <v>#REF!</v>
      </c>
      <c r="V72" s="201">
        <f t="shared" si="122"/>
        <v>0</v>
      </c>
      <c r="W72" s="184">
        <f t="shared" si="115"/>
        <v>0</v>
      </c>
      <c r="X72" s="202">
        <v>0</v>
      </c>
      <c r="Y72" s="202"/>
      <c r="Z72" s="203">
        <f t="shared" si="104"/>
        <v>0</v>
      </c>
      <c r="AA72" s="204">
        <f t="shared" si="123"/>
        <v>0</v>
      </c>
      <c r="AB72" s="204" t="e">
        <f t="shared" si="123"/>
        <v>#REF!</v>
      </c>
      <c r="AC72" s="205">
        <f t="shared" si="123"/>
        <v>0</v>
      </c>
      <c r="AD72" s="188">
        <f t="shared" si="116"/>
        <v>0</v>
      </c>
      <c r="AE72" s="206">
        <v>0</v>
      </c>
      <c r="AF72" s="206">
        <v>0</v>
      </c>
      <c r="AG72" s="207">
        <f t="shared" si="105"/>
        <v>0</v>
      </c>
      <c r="AH72" s="208">
        <f t="shared" si="124"/>
        <v>0</v>
      </c>
      <c r="AI72" s="208" t="e">
        <f t="shared" si="124"/>
        <v>#REF!</v>
      </c>
      <c r="AJ72" s="209">
        <f t="shared" si="124"/>
        <v>0</v>
      </c>
      <c r="AK72" s="192">
        <f t="shared" si="117"/>
        <v>0</v>
      </c>
      <c r="AL72" s="198">
        <v>0</v>
      </c>
      <c r="AM72" s="198">
        <v>0</v>
      </c>
      <c r="AN72" s="199">
        <f t="shared" si="106"/>
        <v>0</v>
      </c>
      <c r="AO72" s="200">
        <f t="shared" si="125"/>
        <v>0</v>
      </c>
      <c r="AP72" s="200" t="e">
        <f t="shared" si="125"/>
        <v>#REF!</v>
      </c>
      <c r="AQ72" s="201">
        <f t="shared" si="125"/>
        <v>0</v>
      </c>
      <c r="AR72" s="183">
        <f t="shared" si="118"/>
        <v>0</v>
      </c>
      <c r="AS72" s="202">
        <v>0</v>
      </c>
      <c r="AT72" s="202">
        <v>0</v>
      </c>
      <c r="AU72" s="203">
        <f t="shared" si="107"/>
        <v>0</v>
      </c>
      <c r="AV72" s="1202">
        <f t="shared" si="18"/>
        <v>0</v>
      </c>
      <c r="AW72" s="210">
        <f t="shared" si="108"/>
        <v>0</v>
      </c>
      <c r="AX72" s="196" t="str">
        <f t="shared" si="7"/>
        <v/>
      </c>
      <c r="BB72" s="98">
        <f t="shared" si="109"/>
        <v>0</v>
      </c>
      <c r="BC72" s="968">
        <f t="shared" si="19"/>
        <v>0</v>
      </c>
      <c r="BF72" s="112" t="e">
        <f t="shared" si="119"/>
        <v>#REF!</v>
      </c>
      <c r="BG72" s="117" t="e">
        <f t="shared" si="110"/>
        <v>#REF!</v>
      </c>
      <c r="BH72" s="112" t="e">
        <f t="shared" si="111"/>
        <v>#REF!</v>
      </c>
      <c r="BI72" s="117" t="e">
        <f t="shared" si="112"/>
        <v>#REF!</v>
      </c>
      <c r="BJ72" s="98" t="e">
        <f t="shared" si="120"/>
        <v>#REF!</v>
      </c>
    </row>
    <row r="73" spans="1:62">
      <c r="A73" s="175">
        <v>4</v>
      </c>
      <c r="B73" s="195" t="s">
        <v>507</v>
      </c>
      <c r="C73" s="1203">
        <f t="shared" si="113"/>
        <v>1400</v>
      </c>
      <c r="D73" s="1204">
        <v>2</v>
      </c>
      <c r="E73" s="196">
        <f t="shared" si="114"/>
        <v>0</v>
      </c>
      <c r="F73" s="197">
        <v>0</v>
      </c>
      <c r="G73" s="179">
        <f>IF(Setup!$L$8="No",0,J73+Q73+X73+AE73)</f>
        <v>0</v>
      </c>
      <c r="H73" s="179"/>
      <c r="I73" s="179">
        <f>IF(Sources!$D$10&gt;0,J73+Q73+X73+AE73,IF(Sources!$D$11&gt;0,H73,0))</f>
        <v>0</v>
      </c>
      <c r="J73" s="206">
        <v>0</v>
      </c>
      <c r="K73" s="206">
        <v>0</v>
      </c>
      <c r="L73" s="207">
        <f t="shared" si="101"/>
        <v>0</v>
      </c>
      <c r="M73" s="208">
        <f t="shared" si="121"/>
        <v>0</v>
      </c>
      <c r="N73" s="208" t="e">
        <f t="shared" si="121"/>
        <v>#REF!</v>
      </c>
      <c r="O73" s="209">
        <f t="shared" si="121"/>
        <v>0</v>
      </c>
      <c r="P73" s="209">
        <f t="shared" si="102"/>
        <v>0</v>
      </c>
      <c r="Q73" s="198">
        <v>0</v>
      </c>
      <c r="R73" s="198">
        <v>0</v>
      </c>
      <c r="S73" s="199">
        <f t="shared" si="103"/>
        <v>0</v>
      </c>
      <c r="T73" s="200">
        <f t="shared" si="122"/>
        <v>0</v>
      </c>
      <c r="U73" s="200" t="e">
        <f t="shared" si="122"/>
        <v>#REF!</v>
      </c>
      <c r="V73" s="201">
        <f t="shared" si="122"/>
        <v>0</v>
      </c>
      <c r="W73" s="184">
        <f t="shared" si="115"/>
        <v>0</v>
      </c>
      <c r="X73" s="202">
        <v>0</v>
      </c>
      <c r="Y73" s="202"/>
      <c r="Z73" s="203">
        <f t="shared" si="104"/>
        <v>0</v>
      </c>
      <c r="AA73" s="204">
        <f t="shared" si="123"/>
        <v>0</v>
      </c>
      <c r="AB73" s="204" t="e">
        <f t="shared" si="123"/>
        <v>#REF!</v>
      </c>
      <c r="AC73" s="205">
        <f t="shared" si="123"/>
        <v>0</v>
      </c>
      <c r="AD73" s="188">
        <f t="shared" si="116"/>
        <v>0</v>
      </c>
      <c r="AE73" s="206">
        <v>0</v>
      </c>
      <c r="AF73" s="206">
        <v>0</v>
      </c>
      <c r="AG73" s="207">
        <f t="shared" si="105"/>
        <v>0</v>
      </c>
      <c r="AH73" s="208">
        <f t="shared" si="124"/>
        <v>0</v>
      </c>
      <c r="AI73" s="208" t="e">
        <f t="shared" si="124"/>
        <v>#REF!</v>
      </c>
      <c r="AJ73" s="209">
        <f t="shared" si="124"/>
        <v>0</v>
      </c>
      <c r="AK73" s="192">
        <f t="shared" si="117"/>
        <v>0</v>
      </c>
      <c r="AL73" s="198">
        <v>0</v>
      </c>
      <c r="AM73" s="198">
        <v>0</v>
      </c>
      <c r="AN73" s="199">
        <f t="shared" si="106"/>
        <v>0</v>
      </c>
      <c r="AO73" s="200">
        <f t="shared" si="125"/>
        <v>0</v>
      </c>
      <c r="AP73" s="200" t="e">
        <f t="shared" si="125"/>
        <v>#REF!</v>
      </c>
      <c r="AQ73" s="201">
        <f t="shared" si="125"/>
        <v>0</v>
      </c>
      <c r="AR73" s="183">
        <f t="shared" si="118"/>
        <v>0</v>
      </c>
      <c r="AS73" s="202">
        <v>0</v>
      </c>
      <c r="AT73" s="202">
        <v>0</v>
      </c>
      <c r="AU73" s="203">
        <f t="shared" si="107"/>
        <v>0</v>
      </c>
      <c r="AV73" s="1202">
        <f t="shared" si="18"/>
        <v>0</v>
      </c>
      <c r="AW73" s="210">
        <f t="shared" si="108"/>
        <v>0</v>
      </c>
      <c r="AX73" s="196" t="str">
        <f t="shared" si="7"/>
        <v/>
      </c>
      <c r="BB73" s="98">
        <f t="shared" si="109"/>
        <v>0</v>
      </c>
      <c r="BC73" s="968">
        <f t="shared" si="19"/>
        <v>0</v>
      </c>
      <c r="BF73" s="112" t="e">
        <f t="shared" si="119"/>
        <v>#REF!</v>
      </c>
      <c r="BG73" s="117" t="e">
        <f t="shared" si="110"/>
        <v>#REF!</v>
      </c>
      <c r="BH73" s="112" t="e">
        <f t="shared" si="111"/>
        <v>#REF!</v>
      </c>
      <c r="BI73" s="117" t="e">
        <f t="shared" si="112"/>
        <v>#REF!</v>
      </c>
      <c r="BJ73" s="98" t="e">
        <f t="shared" si="120"/>
        <v>#REF!</v>
      </c>
    </row>
    <row r="74" spans="1:62" hidden="1" outlineLevel="1">
      <c r="A74" s="175">
        <v>4</v>
      </c>
      <c r="B74" s="195" t="s">
        <v>508</v>
      </c>
      <c r="C74" s="1203">
        <f t="shared" si="113"/>
        <v>1400</v>
      </c>
      <c r="D74" s="1204">
        <v>2</v>
      </c>
      <c r="E74" s="196">
        <f t="shared" si="114"/>
        <v>0</v>
      </c>
      <c r="F74" s="197">
        <v>0</v>
      </c>
      <c r="G74" s="179">
        <f>IF(Setup!$L$8="No",0,J74+Q74+X74+AE74)</f>
        <v>0</v>
      </c>
      <c r="H74" s="179"/>
      <c r="I74" s="179">
        <f>IF(Sources!$D$10&gt;0,J74+Q74+X74+AE74,IF(Sources!$D$11&gt;0,H74,0))</f>
        <v>0</v>
      </c>
      <c r="J74" s="206">
        <v>0</v>
      </c>
      <c r="K74" s="206">
        <v>0</v>
      </c>
      <c r="L74" s="207">
        <f t="shared" si="101"/>
        <v>0</v>
      </c>
      <c r="M74" s="208">
        <f t="shared" si="121"/>
        <v>0</v>
      </c>
      <c r="N74" s="208" t="e">
        <f t="shared" si="121"/>
        <v>#REF!</v>
      </c>
      <c r="O74" s="209">
        <f t="shared" si="121"/>
        <v>0</v>
      </c>
      <c r="P74" s="209">
        <f t="shared" si="102"/>
        <v>0</v>
      </c>
      <c r="Q74" s="198">
        <v>0</v>
      </c>
      <c r="R74" s="198">
        <v>0</v>
      </c>
      <c r="S74" s="199">
        <f t="shared" si="103"/>
        <v>0</v>
      </c>
      <c r="T74" s="200">
        <f t="shared" si="122"/>
        <v>0</v>
      </c>
      <c r="U74" s="200" t="e">
        <f t="shared" si="122"/>
        <v>#REF!</v>
      </c>
      <c r="V74" s="201">
        <f t="shared" si="122"/>
        <v>0</v>
      </c>
      <c r="W74" s="184">
        <f t="shared" si="115"/>
        <v>0</v>
      </c>
      <c r="X74" s="202">
        <v>0</v>
      </c>
      <c r="Y74" s="202"/>
      <c r="Z74" s="203">
        <f t="shared" si="104"/>
        <v>0</v>
      </c>
      <c r="AA74" s="204">
        <f t="shared" si="123"/>
        <v>0</v>
      </c>
      <c r="AB74" s="204" t="e">
        <f t="shared" si="123"/>
        <v>#REF!</v>
      </c>
      <c r="AC74" s="205">
        <f t="shared" si="123"/>
        <v>0</v>
      </c>
      <c r="AD74" s="188">
        <f t="shared" si="116"/>
        <v>0</v>
      </c>
      <c r="AE74" s="206">
        <v>0</v>
      </c>
      <c r="AF74" s="206">
        <v>0</v>
      </c>
      <c r="AG74" s="207">
        <f t="shared" si="105"/>
        <v>0</v>
      </c>
      <c r="AH74" s="208">
        <f t="shared" si="124"/>
        <v>0</v>
      </c>
      <c r="AI74" s="208" t="e">
        <f t="shared" si="124"/>
        <v>#REF!</v>
      </c>
      <c r="AJ74" s="209">
        <f t="shared" si="124"/>
        <v>0</v>
      </c>
      <c r="AK74" s="192">
        <f t="shared" si="117"/>
        <v>0</v>
      </c>
      <c r="AL74" s="198">
        <v>0</v>
      </c>
      <c r="AM74" s="198">
        <v>0</v>
      </c>
      <c r="AN74" s="199">
        <f t="shared" si="106"/>
        <v>0</v>
      </c>
      <c r="AO74" s="200">
        <f t="shared" si="125"/>
        <v>0</v>
      </c>
      <c r="AP74" s="200" t="e">
        <f t="shared" si="125"/>
        <v>#REF!</v>
      </c>
      <c r="AQ74" s="201">
        <f t="shared" si="125"/>
        <v>0</v>
      </c>
      <c r="AR74" s="183">
        <f t="shared" si="118"/>
        <v>0</v>
      </c>
      <c r="AS74" s="202">
        <v>0</v>
      </c>
      <c r="AT74" s="202">
        <v>0</v>
      </c>
      <c r="AU74" s="203">
        <f t="shared" si="107"/>
        <v>0</v>
      </c>
      <c r="AV74" s="1202">
        <f t="shared" si="18"/>
        <v>0</v>
      </c>
      <c r="AW74" s="210">
        <f t="shared" si="108"/>
        <v>0</v>
      </c>
      <c r="AX74" s="196" t="str">
        <f t="shared" ref="AX74:AX93" si="126">IF(AW74=0,"",AW74/AV74)</f>
        <v/>
      </c>
      <c r="BB74" s="98">
        <f t="shared" si="109"/>
        <v>0</v>
      </c>
      <c r="BC74" s="968">
        <f t="shared" si="19"/>
        <v>0</v>
      </c>
      <c r="BF74" s="112" t="e">
        <f t="shared" si="119"/>
        <v>#REF!</v>
      </c>
      <c r="BG74" s="117" t="e">
        <f t="shared" si="110"/>
        <v>#REF!</v>
      </c>
      <c r="BH74" s="112" t="e">
        <f t="shared" si="111"/>
        <v>#REF!</v>
      </c>
      <c r="BI74" s="117" t="e">
        <f t="shared" si="112"/>
        <v>#REF!</v>
      </c>
      <c r="BJ74" s="98" t="e">
        <f t="shared" si="120"/>
        <v>#REF!</v>
      </c>
    </row>
    <row r="75" spans="1:62" hidden="1" outlineLevel="1">
      <c r="A75" s="175">
        <v>4</v>
      </c>
      <c r="B75" s="195" t="s">
        <v>509</v>
      </c>
      <c r="C75" s="1203">
        <f t="shared" si="113"/>
        <v>1400</v>
      </c>
      <c r="D75" s="1204">
        <v>2</v>
      </c>
      <c r="E75" s="196">
        <f t="shared" si="114"/>
        <v>0</v>
      </c>
      <c r="F75" s="197">
        <v>0</v>
      </c>
      <c r="G75" s="179">
        <f>IF(Setup!$L$8="No",0,J75+Q75+X75+AE75)</f>
        <v>0</v>
      </c>
      <c r="H75" s="179"/>
      <c r="I75" s="179">
        <f>IF(Sources!$D$10&gt;0,J75+Q75+X75+AE75,IF(Sources!$D$11&gt;0,H75,0))</f>
        <v>0</v>
      </c>
      <c r="J75" s="206">
        <v>0</v>
      </c>
      <c r="K75" s="206">
        <v>0</v>
      </c>
      <c r="L75" s="207">
        <f t="shared" si="101"/>
        <v>0</v>
      </c>
      <c r="M75" s="208">
        <f t="shared" si="121"/>
        <v>0</v>
      </c>
      <c r="N75" s="208" t="e">
        <f t="shared" si="121"/>
        <v>#REF!</v>
      </c>
      <c r="O75" s="209">
        <f t="shared" si="121"/>
        <v>0</v>
      </c>
      <c r="P75" s="209">
        <f t="shared" si="102"/>
        <v>0</v>
      </c>
      <c r="Q75" s="198">
        <v>0</v>
      </c>
      <c r="R75" s="198">
        <v>0</v>
      </c>
      <c r="S75" s="199">
        <f t="shared" si="103"/>
        <v>0</v>
      </c>
      <c r="T75" s="200">
        <f t="shared" si="122"/>
        <v>0</v>
      </c>
      <c r="U75" s="200" t="e">
        <f t="shared" si="122"/>
        <v>#REF!</v>
      </c>
      <c r="V75" s="201">
        <f t="shared" si="122"/>
        <v>0</v>
      </c>
      <c r="W75" s="184">
        <f t="shared" si="115"/>
        <v>0</v>
      </c>
      <c r="X75" s="202">
        <v>0</v>
      </c>
      <c r="Y75" s="202"/>
      <c r="Z75" s="203">
        <f t="shared" si="104"/>
        <v>0</v>
      </c>
      <c r="AA75" s="204">
        <f t="shared" si="123"/>
        <v>0</v>
      </c>
      <c r="AB75" s="204" t="e">
        <f t="shared" si="123"/>
        <v>#REF!</v>
      </c>
      <c r="AC75" s="205">
        <f t="shared" si="123"/>
        <v>0</v>
      </c>
      <c r="AD75" s="188">
        <f t="shared" si="116"/>
        <v>0</v>
      </c>
      <c r="AE75" s="206">
        <v>0</v>
      </c>
      <c r="AF75" s="206">
        <v>0</v>
      </c>
      <c r="AG75" s="207">
        <f t="shared" si="105"/>
        <v>0</v>
      </c>
      <c r="AH75" s="208">
        <f t="shared" si="124"/>
        <v>0</v>
      </c>
      <c r="AI75" s="208" t="e">
        <f t="shared" si="124"/>
        <v>#REF!</v>
      </c>
      <c r="AJ75" s="209">
        <f t="shared" si="124"/>
        <v>0</v>
      </c>
      <c r="AK75" s="192">
        <f t="shared" si="117"/>
        <v>0</v>
      </c>
      <c r="AL75" s="198">
        <v>0</v>
      </c>
      <c r="AM75" s="198">
        <v>0</v>
      </c>
      <c r="AN75" s="199">
        <f t="shared" si="106"/>
        <v>0</v>
      </c>
      <c r="AO75" s="200">
        <f t="shared" si="125"/>
        <v>0</v>
      </c>
      <c r="AP75" s="200" t="e">
        <f t="shared" si="125"/>
        <v>#REF!</v>
      </c>
      <c r="AQ75" s="201">
        <f t="shared" si="125"/>
        <v>0</v>
      </c>
      <c r="AR75" s="183">
        <f t="shared" si="118"/>
        <v>0</v>
      </c>
      <c r="AS75" s="202">
        <v>0</v>
      </c>
      <c r="AT75" s="202">
        <v>0</v>
      </c>
      <c r="AU75" s="203">
        <f t="shared" si="107"/>
        <v>0</v>
      </c>
      <c r="AV75" s="1202">
        <f t="shared" ref="AV75:AV93" si="127">F75+AS75+AE75+X75+Q75+J75+AL75</f>
        <v>0</v>
      </c>
      <c r="AW75" s="210">
        <f t="shared" si="108"/>
        <v>0</v>
      </c>
      <c r="AX75" s="196" t="str">
        <f t="shared" si="126"/>
        <v/>
      </c>
      <c r="BB75" s="98">
        <f t="shared" si="109"/>
        <v>0</v>
      </c>
      <c r="BC75" s="968">
        <f t="shared" ref="BC75:BC92" si="128">((AV75-G75)-F75)*C75</f>
        <v>0</v>
      </c>
      <c r="BF75" s="112" t="e">
        <f t="shared" si="119"/>
        <v>#REF!</v>
      </c>
      <c r="BG75" s="117" t="e">
        <f t="shared" si="110"/>
        <v>#REF!</v>
      </c>
      <c r="BH75" s="112" t="e">
        <f t="shared" si="111"/>
        <v>#REF!</v>
      </c>
      <c r="BI75" s="117" t="e">
        <f t="shared" si="112"/>
        <v>#REF!</v>
      </c>
      <c r="BJ75" s="98" t="e">
        <f t="shared" si="120"/>
        <v>#REF!</v>
      </c>
    </row>
    <row r="76" spans="1:62" hidden="1" outlineLevel="1">
      <c r="A76" s="175">
        <v>4</v>
      </c>
      <c r="B76" s="195" t="s">
        <v>510</v>
      </c>
      <c r="C76" s="1203">
        <f t="shared" si="113"/>
        <v>1400</v>
      </c>
      <c r="D76" s="1204">
        <v>2</v>
      </c>
      <c r="E76" s="196">
        <f t="shared" si="114"/>
        <v>0</v>
      </c>
      <c r="F76" s="197">
        <v>0</v>
      </c>
      <c r="G76" s="179">
        <f>IF(Setup!$L$8="No",0,J76+Q76+X76+AE76)</f>
        <v>0</v>
      </c>
      <c r="H76" s="179"/>
      <c r="I76" s="179">
        <f>IF(Sources!$D$10&gt;0,J76+Q76+X76+AE76,IF(Sources!$D$11&gt;0,H76,0))</f>
        <v>0</v>
      </c>
      <c r="J76" s="206">
        <v>0</v>
      </c>
      <c r="K76" s="206">
        <v>0</v>
      </c>
      <c r="L76" s="207">
        <f t="shared" si="101"/>
        <v>0</v>
      </c>
      <c r="M76" s="208">
        <f t="shared" si="121"/>
        <v>0</v>
      </c>
      <c r="N76" s="208" t="e">
        <f t="shared" si="121"/>
        <v>#REF!</v>
      </c>
      <c r="O76" s="209">
        <f t="shared" si="121"/>
        <v>0</v>
      </c>
      <c r="P76" s="209">
        <f t="shared" si="102"/>
        <v>0</v>
      </c>
      <c r="Q76" s="198">
        <v>0</v>
      </c>
      <c r="R76" s="198">
        <v>0</v>
      </c>
      <c r="S76" s="199">
        <f t="shared" si="103"/>
        <v>0</v>
      </c>
      <c r="T76" s="200">
        <f t="shared" si="122"/>
        <v>0</v>
      </c>
      <c r="U76" s="200" t="e">
        <f t="shared" si="122"/>
        <v>#REF!</v>
      </c>
      <c r="V76" s="201">
        <f t="shared" si="122"/>
        <v>0</v>
      </c>
      <c r="W76" s="184">
        <f t="shared" si="115"/>
        <v>0</v>
      </c>
      <c r="X76" s="202">
        <v>0</v>
      </c>
      <c r="Y76" s="202"/>
      <c r="Z76" s="203">
        <f t="shared" si="104"/>
        <v>0</v>
      </c>
      <c r="AA76" s="204">
        <f t="shared" si="123"/>
        <v>0</v>
      </c>
      <c r="AB76" s="204" t="e">
        <f t="shared" si="123"/>
        <v>#REF!</v>
      </c>
      <c r="AC76" s="205">
        <f t="shared" si="123"/>
        <v>0</v>
      </c>
      <c r="AD76" s="188">
        <f t="shared" si="116"/>
        <v>0</v>
      </c>
      <c r="AE76" s="206">
        <v>0</v>
      </c>
      <c r="AF76" s="206">
        <v>0</v>
      </c>
      <c r="AG76" s="207">
        <f t="shared" si="105"/>
        <v>0</v>
      </c>
      <c r="AH76" s="208">
        <f t="shared" si="124"/>
        <v>0</v>
      </c>
      <c r="AI76" s="208" t="e">
        <f t="shared" si="124"/>
        <v>#REF!</v>
      </c>
      <c r="AJ76" s="209">
        <f t="shared" si="124"/>
        <v>0</v>
      </c>
      <c r="AK76" s="192">
        <f t="shared" si="117"/>
        <v>0</v>
      </c>
      <c r="AL76" s="198">
        <v>0</v>
      </c>
      <c r="AM76" s="198">
        <v>0</v>
      </c>
      <c r="AN76" s="199">
        <f t="shared" si="106"/>
        <v>0</v>
      </c>
      <c r="AO76" s="200">
        <f t="shared" si="125"/>
        <v>0</v>
      </c>
      <c r="AP76" s="200" t="e">
        <f t="shared" si="125"/>
        <v>#REF!</v>
      </c>
      <c r="AQ76" s="201">
        <f t="shared" si="125"/>
        <v>0</v>
      </c>
      <c r="AR76" s="183">
        <f t="shared" si="118"/>
        <v>0</v>
      </c>
      <c r="AS76" s="202">
        <v>0</v>
      </c>
      <c r="AT76" s="202">
        <v>0</v>
      </c>
      <c r="AU76" s="203">
        <f t="shared" si="107"/>
        <v>0</v>
      </c>
      <c r="AV76" s="1202">
        <f t="shared" si="127"/>
        <v>0</v>
      </c>
      <c r="AW76" s="210">
        <f t="shared" si="108"/>
        <v>0</v>
      </c>
      <c r="AX76" s="196" t="str">
        <f t="shared" si="126"/>
        <v/>
      </c>
      <c r="BB76" s="98">
        <f t="shared" si="109"/>
        <v>0</v>
      </c>
      <c r="BC76" s="968">
        <f t="shared" si="128"/>
        <v>0</v>
      </c>
      <c r="BF76" s="112" t="e">
        <f t="shared" si="119"/>
        <v>#REF!</v>
      </c>
      <c r="BG76" s="117" t="e">
        <f t="shared" si="110"/>
        <v>#REF!</v>
      </c>
      <c r="BH76" s="112" t="e">
        <f t="shared" si="111"/>
        <v>#REF!</v>
      </c>
      <c r="BI76" s="117" t="e">
        <f t="shared" si="112"/>
        <v>#REF!</v>
      </c>
      <c r="BJ76" s="98" t="e">
        <f t="shared" si="120"/>
        <v>#REF!</v>
      </c>
    </row>
    <row r="77" spans="1:62" hidden="1" outlineLevel="1">
      <c r="A77" s="175">
        <v>4</v>
      </c>
      <c r="B77" s="195" t="s">
        <v>511</v>
      </c>
      <c r="C77" s="1203">
        <f t="shared" si="113"/>
        <v>1400</v>
      </c>
      <c r="D77" s="1204">
        <v>2</v>
      </c>
      <c r="E77" s="196">
        <f t="shared" si="114"/>
        <v>0</v>
      </c>
      <c r="F77" s="197">
        <v>0</v>
      </c>
      <c r="G77" s="179">
        <f>IF(Setup!$L$8="No",0,J77+Q77+X77+AE77)</f>
        <v>0</v>
      </c>
      <c r="H77" s="179"/>
      <c r="I77" s="179">
        <f>IF(Sources!$D$10&gt;0,J77+Q77+X77+AE77,IF(Sources!$D$11&gt;0,H77,0))</f>
        <v>0</v>
      </c>
      <c r="J77" s="206">
        <v>0</v>
      </c>
      <c r="K77" s="206">
        <v>0</v>
      </c>
      <c r="L77" s="207">
        <f t="shared" si="101"/>
        <v>0</v>
      </c>
      <c r="M77" s="208">
        <f t="shared" si="121"/>
        <v>0</v>
      </c>
      <c r="N77" s="208" t="e">
        <f t="shared" si="121"/>
        <v>#REF!</v>
      </c>
      <c r="O77" s="209">
        <f t="shared" si="121"/>
        <v>0</v>
      </c>
      <c r="P77" s="209">
        <f t="shared" si="102"/>
        <v>0</v>
      </c>
      <c r="Q77" s="198">
        <v>0</v>
      </c>
      <c r="R77" s="198">
        <v>0</v>
      </c>
      <c r="S77" s="199">
        <f t="shared" si="103"/>
        <v>0</v>
      </c>
      <c r="T77" s="200">
        <f t="shared" si="122"/>
        <v>0</v>
      </c>
      <c r="U77" s="200" t="e">
        <f t="shared" si="122"/>
        <v>#REF!</v>
      </c>
      <c r="V77" s="201">
        <f t="shared" si="122"/>
        <v>0</v>
      </c>
      <c r="W77" s="184">
        <f t="shared" si="115"/>
        <v>0</v>
      </c>
      <c r="X77" s="202">
        <v>0</v>
      </c>
      <c r="Y77" s="202"/>
      <c r="Z77" s="203">
        <f t="shared" si="104"/>
        <v>0</v>
      </c>
      <c r="AA77" s="204">
        <f t="shared" si="123"/>
        <v>0</v>
      </c>
      <c r="AB77" s="204" t="e">
        <f t="shared" si="123"/>
        <v>#REF!</v>
      </c>
      <c r="AC77" s="205">
        <f t="shared" si="123"/>
        <v>0</v>
      </c>
      <c r="AD77" s="188">
        <f t="shared" si="116"/>
        <v>0</v>
      </c>
      <c r="AE77" s="206">
        <v>0</v>
      </c>
      <c r="AF77" s="206">
        <v>0</v>
      </c>
      <c r="AG77" s="207">
        <f t="shared" si="105"/>
        <v>0</v>
      </c>
      <c r="AH77" s="208">
        <f t="shared" si="124"/>
        <v>0</v>
      </c>
      <c r="AI77" s="208" t="e">
        <f t="shared" si="124"/>
        <v>#REF!</v>
      </c>
      <c r="AJ77" s="209">
        <f t="shared" si="124"/>
        <v>0</v>
      </c>
      <c r="AK77" s="192">
        <f t="shared" si="117"/>
        <v>0</v>
      </c>
      <c r="AL77" s="198">
        <v>0</v>
      </c>
      <c r="AM77" s="198">
        <v>0</v>
      </c>
      <c r="AN77" s="199">
        <f t="shared" si="106"/>
        <v>0</v>
      </c>
      <c r="AO77" s="200">
        <f t="shared" si="125"/>
        <v>0</v>
      </c>
      <c r="AP77" s="200" t="e">
        <f t="shared" si="125"/>
        <v>#REF!</v>
      </c>
      <c r="AQ77" s="201">
        <f t="shared" si="125"/>
        <v>0</v>
      </c>
      <c r="AR77" s="183">
        <f t="shared" si="118"/>
        <v>0</v>
      </c>
      <c r="AS77" s="202">
        <v>0</v>
      </c>
      <c r="AT77" s="202">
        <v>0</v>
      </c>
      <c r="AU77" s="203">
        <f t="shared" si="107"/>
        <v>0</v>
      </c>
      <c r="AV77" s="1202">
        <f t="shared" si="127"/>
        <v>0</v>
      </c>
      <c r="AW77" s="210">
        <f t="shared" si="108"/>
        <v>0</v>
      </c>
      <c r="AX77" s="196" t="str">
        <f t="shared" si="126"/>
        <v/>
      </c>
      <c r="BB77" s="98">
        <f t="shared" si="109"/>
        <v>0</v>
      </c>
      <c r="BC77" s="968">
        <f t="shared" si="128"/>
        <v>0</v>
      </c>
      <c r="BF77" s="112" t="e">
        <f t="shared" si="119"/>
        <v>#REF!</v>
      </c>
      <c r="BG77" s="117" t="e">
        <f t="shared" si="110"/>
        <v>#REF!</v>
      </c>
      <c r="BH77" s="112" t="e">
        <f t="shared" si="111"/>
        <v>#REF!</v>
      </c>
      <c r="BI77" s="117" t="e">
        <f t="shared" si="112"/>
        <v>#REF!</v>
      </c>
      <c r="BJ77" s="98" t="e">
        <f t="shared" si="120"/>
        <v>#REF!</v>
      </c>
    </row>
    <row r="78" spans="1:62" hidden="1" outlineLevel="1">
      <c r="A78" s="175">
        <v>4</v>
      </c>
      <c r="B78" s="195" t="s">
        <v>512</v>
      </c>
      <c r="C78" s="1203">
        <f t="shared" si="113"/>
        <v>1400</v>
      </c>
      <c r="D78" s="1204">
        <v>2</v>
      </c>
      <c r="E78" s="196">
        <f t="shared" si="114"/>
        <v>0</v>
      </c>
      <c r="F78" s="197">
        <v>0</v>
      </c>
      <c r="G78" s="179">
        <f>IF(Setup!$L$8="No",0,J78+Q78+X78+AE78)</f>
        <v>0</v>
      </c>
      <c r="H78" s="179"/>
      <c r="I78" s="179">
        <f>IF(Sources!$D$10&gt;0,J78+Q78+X78+AE78,IF(Sources!$D$11&gt;0,H78,0))</f>
        <v>0</v>
      </c>
      <c r="J78" s="206">
        <v>0</v>
      </c>
      <c r="K78" s="206">
        <v>0</v>
      </c>
      <c r="L78" s="207">
        <f t="shared" si="101"/>
        <v>0</v>
      </c>
      <c r="M78" s="208">
        <f t="shared" si="121"/>
        <v>0</v>
      </c>
      <c r="N78" s="208" t="e">
        <f t="shared" si="121"/>
        <v>#REF!</v>
      </c>
      <c r="O78" s="209">
        <f t="shared" si="121"/>
        <v>0</v>
      </c>
      <c r="P78" s="209">
        <f t="shared" si="102"/>
        <v>0</v>
      </c>
      <c r="Q78" s="198">
        <v>0</v>
      </c>
      <c r="R78" s="198">
        <v>0</v>
      </c>
      <c r="S78" s="199">
        <f t="shared" si="103"/>
        <v>0</v>
      </c>
      <c r="T78" s="200">
        <f t="shared" si="122"/>
        <v>0</v>
      </c>
      <c r="U78" s="200" t="e">
        <f t="shared" si="122"/>
        <v>#REF!</v>
      </c>
      <c r="V78" s="201">
        <f t="shared" si="122"/>
        <v>0</v>
      </c>
      <c r="W78" s="184">
        <f t="shared" si="115"/>
        <v>0</v>
      </c>
      <c r="X78" s="202">
        <v>0</v>
      </c>
      <c r="Y78" s="202"/>
      <c r="Z78" s="203">
        <f t="shared" si="104"/>
        <v>0</v>
      </c>
      <c r="AA78" s="204">
        <f t="shared" si="123"/>
        <v>0</v>
      </c>
      <c r="AB78" s="204" t="e">
        <f t="shared" si="123"/>
        <v>#REF!</v>
      </c>
      <c r="AC78" s="205">
        <f t="shared" si="123"/>
        <v>0</v>
      </c>
      <c r="AD78" s="188">
        <f t="shared" si="116"/>
        <v>0</v>
      </c>
      <c r="AE78" s="206">
        <v>0</v>
      </c>
      <c r="AF78" s="206">
        <v>0</v>
      </c>
      <c r="AG78" s="207">
        <f t="shared" si="105"/>
        <v>0</v>
      </c>
      <c r="AH78" s="208">
        <f t="shared" si="124"/>
        <v>0</v>
      </c>
      <c r="AI78" s="208" t="e">
        <f t="shared" si="124"/>
        <v>#REF!</v>
      </c>
      <c r="AJ78" s="209">
        <f t="shared" si="124"/>
        <v>0</v>
      </c>
      <c r="AK78" s="192">
        <f t="shared" si="117"/>
        <v>0</v>
      </c>
      <c r="AL78" s="198">
        <v>0</v>
      </c>
      <c r="AM78" s="198">
        <v>0</v>
      </c>
      <c r="AN78" s="199">
        <f t="shared" si="106"/>
        <v>0</v>
      </c>
      <c r="AO78" s="200">
        <f t="shared" si="125"/>
        <v>0</v>
      </c>
      <c r="AP78" s="200" t="e">
        <f t="shared" si="125"/>
        <v>#REF!</v>
      </c>
      <c r="AQ78" s="201">
        <f t="shared" si="125"/>
        <v>0</v>
      </c>
      <c r="AR78" s="183">
        <f t="shared" si="118"/>
        <v>0</v>
      </c>
      <c r="AS78" s="202">
        <v>0</v>
      </c>
      <c r="AT78" s="202">
        <v>0</v>
      </c>
      <c r="AU78" s="203">
        <f t="shared" si="107"/>
        <v>0</v>
      </c>
      <c r="AV78" s="1202">
        <f t="shared" si="127"/>
        <v>0</v>
      </c>
      <c r="AW78" s="210">
        <f t="shared" si="108"/>
        <v>0</v>
      </c>
      <c r="AX78" s="196" t="str">
        <f t="shared" si="126"/>
        <v/>
      </c>
      <c r="BB78" s="98">
        <f t="shared" si="109"/>
        <v>0</v>
      </c>
      <c r="BC78" s="968">
        <f t="shared" si="128"/>
        <v>0</v>
      </c>
      <c r="BF78" s="112" t="e">
        <f t="shared" si="119"/>
        <v>#REF!</v>
      </c>
      <c r="BG78" s="117" t="e">
        <f t="shared" si="110"/>
        <v>#REF!</v>
      </c>
      <c r="BH78" s="112" t="e">
        <f t="shared" si="111"/>
        <v>#REF!</v>
      </c>
      <c r="BI78" s="117" t="e">
        <f t="shared" si="112"/>
        <v>#REF!</v>
      </c>
      <c r="BJ78" s="98" t="e">
        <f t="shared" si="120"/>
        <v>#REF!</v>
      </c>
    </row>
    <row r="79" spans="1:62" s="219" customFormat="1" collapsed="1">
      <c r="A79" s="1205" t="s">
        <v>513</v>
      </c>
      <c r="B79" s="1206"/>
      <c r="C79" s="1206">
        <f>C66*AV66+AV67*C67+AV68*C68+AV69*C69+AV70*C70+AV71*C71+AV72*C72+AV73*C73+AV74*C74+AV75*C75+AV76*C76+AV77*C77+AV78*C78</f>
        <v>0</v>
      </c>
      <c r="D79" s="1206"/>
      <c r="E79" s="222"/>
      <c r="F79" s="1206">
        <f>SUM(F66:F78)</f>
        <v>0</v>
      </c>
      <c r="G79" s="1206">
        <f>SUM(G66:G78)</f>
        <v>0</v>
      </c>
      <c r="H79" s="1206">
        <f>SUM(H66:H78)</f>
        <v>0</v>
      </c>
      <c r="I79" s="1206">
        <f>SUM(I66:I78)</f>
        <v>0</v>
      </c>
      <c r="J79" s="211">
        <f>SUM(J66:J78)</f>
        <v>0</v>
      </c>
      <c r="K79" s="211">
        <f>K66*J66+K67*J67+K73*J73+K74*J74+K75*J75+K76*J76+K77*J77+K78*J78+K68*J68+K69*J69+K70*J70+K71*J71+K72*J72</f>
        <v>0</v>
      </c>
      <c r="L79" s="211"/>
      <c r="M79" s="212"/>
      <c r="N79" s="212"/>
      <c r="O79" s="212"/>
      <c r="P79" s="212"/>
      <c r="Q79" s="213">
        <f>SUM(Q66:Q78)</f>
        <v>0</v>
      </c>
      <c r="R79" s="213">
        <f>R66*Q66+R67*Q67+R73*Q73+R74*Q74+R75*Q75+R76*Q76+R77*Q77+R78*Q78+R68*Q68+R69*Q69+R70*Q70+R71*Q71+R72*Q72</f>
        <v>0</v>
      </c>
      <c r="S79" s="213"/>
      <c r="T79" s="214"/>
      <c r="U79" s="214"/>
      <c r="V79" s="214"/>
      <c r="W79" s="214"/>
      <c r="X79" s="215">
        <f>SUM(X66:X78)</f>
        <v>0</v>
      </c>
      <c r="Y79" s="215">
        <f>Y66*X66+Y67*X67+Y73*X73+Y74*X74+Y75*X75+Y76*X76+Y77*X77+Y78*X78+Y68*X68+Y69*X69+Y70*X70+Y71*X71+Y72*X72</f>
        <v>0</v>
      </c>
      <c r="Z79" s="215"/>
      <c r="AA79" s="216"/>
      <c r="AB79" s="216"/>
      <c r="AC79" s="216"/>
      <c r="AD79" s="216"/>
      <c r="AE79" s="211">
        <f>SUM(AE66:AE78)</f>
        <v>0</v>
      </c>
      <c r="AF79" s="211">
        <f>AF66*AE66+AF67*AE67+AF73*AE73+AF74*AE74+AF75*AE75+AF76*AE76+AF77*AE77+AF78*AE78+AF68*AE68+AF69*AE69+AF70*AE70+AF71*AE71+AF72*AE72</f>
        <v>0</v>
      </c>
      <c r="AG79" s="211"/>
      <c r="AH79" s="212"/>
      <c r="AI79" s="212"/>
      <c r="AJ79" s="212"/>
      <c r="AK79" s="212"/>
      <c r="AL79" s="213">
        <f>SUM(AL66:AL78)</f>
        <v>0</v>
      </c>
      <c r="AM79" s="213">
        <f>AM66*AL66+AM67*AL67+AM73*AL73+AM74*AL74+AM75*AL75+AM76*AL76+AM77*AL77+AM78*AL78+AM68*AL68+AM69*AL69+AM70*AL70+AM71*AL71+AM72*AL72</f>
        <v>0</v>
      </c>
      <c r="AN79" s="213"/>
      <c r="AO79" s="214"/>
      <c r="AP79" s="214"/>
      <c r="AQ79" s="214"/>
      <c r="AR79" s="214"/>
      <c r="AS79" s="215">
        <f>SUM(AS66:AS78)</f>
        <v>0</v>
      </c>
      <c r="AT79" s="215">
        <f>AT66*AS66+AT67*AS67+AT73*AS73+AT74*AS74+AT75*AS75+AT76*AS76+AT77*AS77+AT78*AS78+AT68*AS68+AT69*AS69+AT70*AS70+AT71*AS71+AT72*AS72</f>
        <v>0</v>
      </c>
      <c r="AU79" s="215"/>
      <c r="AV79" s="1202">
        <f t="shared" si="127"/>
        <v>0</v>
      </c>
      <c r="AW79" s="217">
        <f>AF79+AT79+Y79+R79+K79+AM79</f>
        <v>0</v>
      </c>
      <c r="AX79" s="1206" t="str">
        <f t="shared" si="126"/>
        <v/>
      </c>
      <c r="AY79" s="218"/>
      <c r="AZ79" s="218"/>
      <c r="BA79" s="218"/>
      <c r="BB79" s="1207">
        <f>SUM(BB66:BB78)</f>
        <v>0</v>
      </c>
      <c r="BC79" s="218">
        <f>SUM(BC66:BC78)</f>
        <v>0</v>
      </c>
      <c r="BD79" s="218"/>
      <c r="BE79" s="218"/>
      <c r="BF79" s="220"/>
      <c r="BG79" s="221"/>
      <c r="BH79" s="220"/>
      <c r="BI79" s="221"/>
      <c r="BJ79" s="1207"/>
    </row>
    <row r="80" spans="1:62">
      <c r="A80" s="175">
        <v>5</v>
      </c>
      <c r="B80" s="224" t="s">
        <v>514</v>
      </c>
      <c r="C80" s="1209">
        <v>1800</v>
      </c>
      <c r="D80" s="1210">
        <v>2.5</v>
      </c>
      <c r="E80" s="225">
        <f>Setup!R49</f>
        <v>0</v>
      </c>
      <c r="F80" s="226">
        <v>0</v>
      </c>
      <c r="G80" s="179">
        <f>IF(Setup!$L$8="No",0,J80+Q80+X80+AE80)+IF(Setup!$R$21="No",0,'Units&amp;Income'!AL80)</f>
        <v>0</v>
      </c>
      <c r="H80" s="227"/>
      <c r="I80" s="179">
        <f>IF(Sources!$D$10&gt;0,J80+Q80+X80+AE80,IF(Sources!$D$11&gt;0,H80,0))</f>
        <v>0</v>
      </c>
      <c r="J80" s="237">
        <v>0</v>
      </c>
      <c r="K80" s="206">
        <v>0</v>
      </c>
      <c r="L80" s="238">
        <f t="shared" ref="L80:L92" si="129">E80+K80</f>
        <v>0</v>
      </c>
      <c r="M80" s="239">
        <f>IF($C$7=Max_Limits!$A$8,(Max_Limits!#REF!+Max_Limits!#REF!)/2/12*0.3*K$8,IF($C$7=Max_Limits!$A$9,(Max_Limits!$H$9+Max_Limits!$I$9)/2/12*0.3*K$8,IF('Units&amp;Income'!$C$7=Max_Limits!$A$10,(Max_Limits!$H$10+Max_Limits!$I$10)/2/12*0.3*K$8,IF('Units&amp;Income'!$C$7=Max_Limits!$A$11,(Max_Limits!$H$11+Max_Limits!$I$11)/2/12*0.3*K$8,IF('Units&amp;Income'!$C$7=Max_Limits!$A$12,(Max_Limits!$H$12+Max_Limits!$I$12)/2/12*0.3*K$8,IF('Units&amp;Income'!$C$7=Max_Limits!$A$13,(Max_Limits!$H$13+Max_Limits!$I$13)/2/12*0.3*K$8,IF($C$7=Max_Limits!$A$14,(Max_Limits!$H$14+Max_Limits!$I$14)/2/12*0.3*'Units&amp;Income'!K$8,IF('Units&amp;Income'!$C$7=Max_Limits!$A$15,(Max_Limits!$H$8+Max_Limits!$I$8)/2/12*0.3*'Units&amp;Income'!K$8,0))))))))</f>
        <v>0</v>
      </c>
      <c r="N80" s="239" t="e">
        <f>IF($C$7=Max_Limits!#REF!,Max_Limits!#REF!,IF($C$7=Max_Limits!#REF!,Max_Limits!#REF!,IF($C$7=Max_Limits!#REF!,Max_Limits!#REF!,IF($C$7=Max_Limits!#REF!,Max_Limits!#REF!,IF(D75=Max_Limits!#REF!,Max_Limits!#REF!,IF($C$7=Max_Limits!#REF!,Max_Limits!#REF!,IF($C$7=Max_Limits!#REF!,Max_Limits!#REF!, IF(D75=Max_Limits!#REF!,Max_Limits!#REF!,0))))))))</f>
        <v>#REF!</v>
      </c>
      <c r="O80" s="240">
        <f>IF(SUM($F$1:$F$2)=1,M80,IF(SUM($F$1:$F$2)=2,BF80, IF(SUM($F$1:$F$2)=3,N80,"None")))</f>
        <v>0</v>
      </c>
      <c r="P80" s="240">
        <f t="shared" ref="P80:P92" si="130">IF(O80="None",0,IF(K80&gt;0,O80-L80,0))</f>
        <v>0</v>
      </c>
      <c r="Q80" s="228">
        <v>0</v>
      </c>
      <c r="R80" s="228">
        <v>750</v>
      </c>
      <c r="S80" s="229">
        <f t="shared" ref="S80:S92" si="131">$E80+R80</f>
        <v>750</v>
      </c>
      <c r="T80" s="230">
        <f>IF($C$7=Max_Limits!$A$8,(Max_Limits!#REF!+Max_Limits!#REF!)/2/12*0.3*R$8,IF($C$7=Max_Limits!$A$9,(Max_Limits!$H$9+Max_Limits!$I$9)/2/12*0.3*R$8,IF('Units&amp;Income'!$C$7=Max_Limits!$A$10,(Max_Limits!$H$10+Max_Limits!$I$10)/2/12*0.3*R$8,IF('Units&amp;Income'!$C$7=Max_Limits!$A$11,(Max_Limits!$H$11+Max_Limits!$I$11)/2/12*0.3*R$8,IF('Units&amp;Income'!$C$7=Max_Limits!$A$12,(Max_Limits!$H$12+Max_Limits!$I$12)/2/12*0.3*R$8,IF('Units&amp;Income'!$C$7=Max_Limits!$A$13,(Max_Limits!$H$13+Max_Limits!$I$13)/2/12*0.3*R$8,IF($C$7=Max_Limits!$A$14,(Max_Limits!$H$14+Max_Limits!$I$14)/2/12*0.3*'Units&amp;Income'!R$8,IF('Units&amp;Income'!$C$7=Max_Limits!$A$15,(Max_Limits!$H$8+Max_Limits!$I$8)/2/12*0.3*'Units&amp;Income'!R$8,0))))))))</f>
        <v>0</v>
      </c>
      <c r="U80" s="230" t="e">
        <f>N80</f>
        <v>#REF!</v>
      </c>
      <c r="V80" s="231">
        <f>IF(SUM($F$1:$F$2)=1,T80,IF(SUM($F$1:$F$2)=2,BG80, IF(SUM($F$1:$F$2)=3,U80,"None")))</f>
        <v>0</v>
      </c>
      <c r="W80" s="232">
        <f>IF(V80="None",0,IF(R80&gt;0,V80-S80,0))</f>
        <v>-750</v>
      </c>
      <c r="X80" s="233">
        <v>0</v>
      </c>
      <c r="Y80" s="206">
        <v>0</v>
      </c>
      <c r="Z80" s="234">
        <f t="shared" ref="Z80:Z92" si="132">$E80+Y80</f>
        <v>0</v>
      </c>
      <c r="AA80" s="235">
        <f>IF($C$7=Max_Limits!$A$8,(Max_Limits!#REF!+Max_Limits!#REF!)/2/12*0.3*Y$8,IF($C$7=Max_Limits!$A$9,(Max_Limits!$H$9+Max_Limits!$I$9)/2/12*0.3*Y$8,IF('Units&amp;Income'!$C$7=Max_Limits!$A$10,(Max_Limits!$H$10+Max_Limits!$I$10)/2/12*0.3*Y$8,IF('Units&amp;Income'!$C$7=Max_Limits!$A$11,(Max_Limits!$H$11+Max_Limits!$I$11)/2/12*0.3*Y$8,IF('Units&amp;Income'!$C$7=Max_Limits!$A$12,(Max_Limits!$H$12+Max_Limits!$I$12)/2/12*0.3*Y$8,IF('Units&amp;Income'!$C$7=Max_Limits!$A$13,(Max_Limits!$H$13+Max_Limits!$I$13)/2/12*0.3*Y$8,IF($C$7=Max_Limits!$A$14,(Max_Limits!$H$14+Max_Limits!$I$14)/2/12*0.3*'Units&amp;Income'!Y$8,IF('Units&amp;Income'!$C$7=Max_Limits!$A$15,(Max_Limits!$H$8+Max_Limits!$I$8)/2/12*0.3*'Units&amp;Income'!Y$8,0))))))))</f>
        <v>0</v>
      </c>
      <c r="AB80" s="235" t="e">
        <f>U80</f>
        <v>#REF!</v>
      </c>
      <c r="AC80" s="236">
        <f>IF(SUM($F$1:$F$2)=1,AA80,IF(SUM($F$1:$F$2)=2,BH80, IF(SUM($F$1:$F$2)=3,AB80,"None")))</f>
        <v>0</v>
      </c>
      <c r="AD80" s="708">
        <f>IF(AC80="None",0,IF(Y80&gt;0,AC80-Z80,0))</f>
        <v>0</v>
      </c>
      <c r="AE80" s="237">
        <v>0</v>
      </c>
      <c r="AF80" s="206">
        <v>0</v>
      </c>
      <c r="AG80" s="238">
        <f t="shared" ref="AG80:AG92" si="133">$E80+AF80</f>
        <v>0</v>
      </c>
      <c r="AH80" s="239">
        <f>IF($C$7=Max_Limits!$A$8,(Max_Limits!#REF!+Max_Limits!#REF!)/2/12*0.3*AF$8,IF($C$7=Max_Limits!$A$9,(Max_Limits!$H$9+Max_Limits!$I$9)/2/12*0.3*AF$8,IF('Units&amp;Income'!$C$7=Max_Limits!$A$10,(Max_Limits!$H$10+Max_Limits!$I$10)/2/12*0.3*AF$8,IF('Units&amp;Income'!$C$7=Max_Limits!$A$11,(Max_Limits!$H$11+Max_Limits!$I$11)/2/12*0.3*AF$8,IF('Units&amp;Income'!$C$7=Max_Limits!$A$12,(Max_Limits!$H$12+Max_Limits!$I$12)/2/12*0.3*AF$8,IF('Units&amp;Income'!$C$7=Max_Limits!$A$13,(Max_Limits!$H$13+Max_Limits!$I$13)/2/12*0.3*AF$8,IF($C$7=Max_Limits!$A$14,(Max_Limits!$H$14+Max_Limits!$I$14)/2/12*0.3*'Units&amp;Income'!AF$8,IF('Units&amp;Income'!$C$7=Max_Limits!$A$15,(Max_Limits!$H$8+Max_Limits!$I$8)/2/12*0.3*'Units&amp;Income'!AF$8,0))))))))</f>
        <v>0</v>
      </c>
      <c r="AI80" s="239" t="e">
        <f>AB80</f>
        <v>#REF!</v>
      </c>
      <c r="AJ80" s="240">
        <f>IF(SUM($F$1:$F$2)=1,AH80,IF(SUM($F$1:$F$2)=2,BI80, IF(SUM($F$1:$F$2)=3,AI80,"None")))</f>
        <v>0</v>
      </c>
      <c r="AK80" s="1211">
        <f>IF(AJ80="None",0,IF(AF80&gt;0,AJ80-AG80,0))</f>
        <v>0</v>
      </c>
      <c r="AL80" s="228">
        <v>0</v>
      </c>
      <c r="AM80" s="206">
        <v>0</v>
      </c>
      <c r="AN80" s="229">
        <f t="shared" ref="AN80:AN92" si="134">$E80+AM80</f>
        <v>0</v>
      </c>
      <c r="AO80" s="230">
        <f>IF($C$7=Max_Limits!$A$8,(Max_Limits!#REF!+Max_Limits!#REF!)/2/12*0.3*AM$8,IF($C$7=Max_Limits!$A$9,(Max_Limits!$H$9+Max_Limits!$I$9)/2/12*0.3*AM$8,IF('Units&amp;Income'!$C$7=Max_Limits!$A$10,(Max_Limits!$H$10+Max_Limits!$I$10)/2/12*0.3*AM$8,IF('Units&amp;Income'!$C$7=Max_Limits!$A$11,(Max_Limits!$H$11+Max_Limits!$I$11)/2/12*0.3*AM$8,IF('Units&amp;Income'!$C$7=Max_Limits!$A$12,(Max_Limits!$H$12+Max_Limits!$I$12)/2/12*0.3*AM$8,IF('Units&amp;Income'!$C$7=Max_Limits!$A$13,(Max_Limits!$H$13+Max_Limits!$I$13)/2/12*0.3*AM$8,IF($C$7=Max_Limits!$A$14,(Max_Limits!$H$14+Max_Limits!$I$14)/2/12*0.3*'Units&amp;Income'!AM$8,IF('Units&amp;Income'!$C$7=Max_Limits!$A$15,(Max_Limits!$H$8+Max_Limits!$I$8)/2/12*0.3*'Units&amp;Income'!AM$8,0))))))))</f>
        <v>0</v>
      </c>
      <c r="AP80" s="230" t="e">
        <f>AI80</f>
        <v>#REF!</v>
      </c>
      <c r="AQ80" s="231">
        <f>IF(SUM($F$1:$F$2)=1,AO80,IF(SUM($F$1:$F$2)=2,BJ80, IF(SUM($F$1:$F$2)=3,AP80,"None")))</f>
        <v>0</v>
      </c>
      <c r="AR80" s="709">
        <f>IF(AQ80="None",0,IF(AM80&gt;0,AQ80-AN80,0))</f>
        <v>0</v>
      </c>
      <c r="AS80" s="233">
        <v>0</v>
      </c>
      <c r="AT80" s="233">
        <v>0</v>
      </c>
      <c r="AU80" s="234">
        <f t="shared" ref="AU80:AU92" si="135">$E80+AT80</f>
        <v>0</v>
      </c>
      <c r="AV80" s="1202">
        <f t="shared" si="127"/>
        <v>0</v>
      </c>
      <c r="AW80" s="241">
        <f t="shared" ref="AW80:AW92" si="136">J80*K80+Q80*R80+X80*Y80+AE80*AF80+AS80*AT80</f>
        <v>0</v>
      </c>
      <c r="AX80" s="225" t="str">
        <f t="shared" si="126"/>
        <v/>
      </c>
      <c r="BB80" s="98">
        <f t="shared" ref="BB80:BB92" si="137">G80*C80</f>
        <v>0</v>
      </c>
      <c r="BC80" s="968">
        <f t="shared" si="128"/>
        <v>0</v>
      </c>
      <c r="BF80" s="112" t="e">
        <f>IF(M80&gt;N80,N80,M80)</f>
        <v>#REF!</v>
      </c>
      <c r="BG80" s="117" t="e">
        <f t="shared" ref="BG80:BG92" si="138">IF(T80&gt;U80,U80,T80)</f>
        <v>#REF!</v>
      </c>
      <c r="BH80" s="112" t="e">
        <f t="shared" ref="BH80:BH92" si="139">IF(AA80&gt;AB80,AB80,AA80)</f>
        <v>#REF!</v>
      </c>
      <c r="BI80" s="117" t="e">
        <f t="shared" ref="BI80:BI92" si="140">IF(AH80&gt;AI80,AI80,AH80)</f>
        <v>#REF!</v>
      </c>
      <c r="BJ80" s="98" t="e">
        <f>IF(AO80&gt;AP80,AP80,AO80)</f>
        <v>#REF!</v>
      </c>
    </row>
    <row r="81" spans="1:62">
      <c r="A81" s="175">
        <v>5</v>
      </c>
      <c r="B81" s="195" t="s">
        <v>515</v>
      </c>
      <c r="C81" s="1203">
        <f t="shared" ref="C81:C92" si="141">C80</f>
        <v>1800</v>
      </c>
      <c r="D81" s="1204">
        <v>2.5</v>
      </c>
      <c r="E81" s="196">
        <f t="shared" ref="E81:E92" si="142">E80</f>
        <v>0</v>
      </c>
      <c r="F81" s="197">
        <v>0</v>
      </c>
      <c r="G81" s="179">
        <f>IF(Setup!$L$8="No",0,J81+Q81+X81+AE81)+IF(Setup!$R$21="No",0,'Units&amp;Income'!AL81)</f>
        <v>0</v>
      </c>
      <c r="H81" s="242"/>
      <c r="I81" s="179">
        <f>IF(Sources!$D$10&gt;0,J81+Q81+X81+AE81,IF(Sources!$D$11&gt;0,H81,0))</f>
        <v>0</v>
      </c>
      <c r="J81" s="206">
        <v>0</v>
      </c>
      <c r="K81" s="206">
        <v>0</v>
      </c>
      <c r="L81" s="207">
        <f t="shared" si="129"/>
        <v>0</v>
      </c>
      <c r="M81" s="208">
        <f>M80</f>
        <v>0</v>
      </c>
      <c r="N81" s="208" t="e">
        <f>N80</f>
        <v>#REF!</v>
      </c>
      <c r="O81" s="209">
        <f>O80</f>
        <v>0</v>
      </c>
      <c r="P81" s="209">
        <f t="shared" si="130"/>
        <v>0</v>
      </c>
      <c r="Q81" s="198">
        <v>0</v>
      </c>
      <c r="R81" s="198">
        <v>800</v>
      </c>
      <c r="S81" s="199">
        <f t="shared" si="131"/>
        <v>800</v>
      </c>
      <c r="T81" s="200">
        <f>T80</f>
        <v>0</v>
      </c>
      <c r="U81" s="200" t="e">
        <f>U80</f>
        <v>#REF!</v>
      </c>
      <c r="V81" s="201">
        <f>V80</f>
        <v>0</v>
      </c>
      <c r="W81" s="243">
        <f t="shared" ref="W81:W92" si="143">IF(V81="None",0,IF(R81&gt;0,V81-S81,0))</f>
        <v>-800</v>
      </c>
      <c r="X81" s="202">
        <v>0</v>
      </c>
      <c r="Y81" s="206">
        <v>0</v>
      </c>
      <c r="Z81" s="203">
        <f t="shared" si="132"/>
        <v>0</v>
      </c>
      <c r="AA81" s="204">
        <f>AA80</f>
        <v>0</v>
      </c>
      <c r="AB81" s="204" t="e">
        <f>AB80</f>
        <v>#REF!</v>
      </c>
      <c r="AC81" s="205">
        <f>AC80</f>
        <v>0</v>
      </c>
      <c r="AD81" s="205">
        <f t="shared" ref="AD81:AD92" si="144">IF(AC81="None",0,IF(Y81&gt;0,AC81-Z81,0))</f>
        <v>0</v>
      </c>
      <c r="AE81" s="206">
        <v>0</v>
      </c>
      <c r="AF81" s="206">
        <v>0</v>
      </c>
      <c r="AG81" s="207">
        <f t="shared" si="133"/>
        <v>0</v>
      </c>
      <c r="AH81" s="208">
        <f>AH80</f>
        <v>0</v>
      </c>
      <c r="AI81" s="208" t="e">
        <f>AI80</f>
        <v>#REF!</v>
      </c>
      <c r="AJ81" s="209">
        <f>AJ80</f>
        <v>0</v>
      </c>
      <c r="AK81" s="209">
        <f t="shared" ref="AK81:AK92" si="145">IF(AJ81="None",0,IF(AF81&gt;0,AJ81-AG81,0))</f>
        <v>0</v>
      </c>
      <c r="AL81" s="198">
        <v>0</v>
      </c>
      <c r="AM81" s="206">
        <v>0</v>
      </c>
      <c r="AN81" s="199">
        <f t="shared" si="134"/>
        <v>0</v>
      </c>
      <c r="AO81" s="200">
        <f>AO80</f>
        <v>0</v>
      </c>
      <c r="AP81" s="200" t="e">
        <f>AP80</f>
        <v>#REF!</v>
      </c>
      <c r="AQ81" s="201">
        <f>AQ80</f>
        <v>0</v>
      </c>
      <c r="AR81" s="201">
        <f t="shared" ref="AR81:AR92" si="146">IF(AQ81="None",0,IF(AM81&gt;0,AQ81-AN81,0))</f>
        <v>0</v>
      </c>
      <c r="AS81" s="202">
        <v>0</v>
      </c>
      <c r="AT81" s="202">
        <v>0</v>
      </c>
      <c r="AU81" s="203">
        <f t="shared" si="135"/>
        <v>0</v>
      </c>
      <c r="AV81" s="1202">
        <f t="shared" si="127"/>
        <v>0</v>
      </c>
      <c r="AW81" s="210">
        <f t="shared" si="136"/>
        <v>0</v>
      </c>
      <c r="AX81" s="196" t="str">
        <f t="shared" si="126"/>
        <v/>
      </c>
      <c r="BB81" s="98">
        <f t="shared" si="137"/>
        <v>0</v>
      </c>
      <c r="BC81" s="968">
        <f t="shared" si="128"/>
        <v>0</v>
      </c>
      <c r="BF81" s="112" t="e">
        <f t="shared" ref="BF81:BF92" si="147">IF(M81&gt;N81,N81,M81)</f>
        <v>#REF!</v>
      </c>
      <c r="BG81" s="117" t="e">
        <f t="shared" si="138"/>
        <v>#REF!</v>
      </c>
      <c r="BH81" s="112" t="e">
        <f t="shared" si="139"/>
        <v>#REF!</v>
      </c>
      <c r="BI81" s="117" t="e">
        <f t="shared" si="140"/>
        <v>#REF!</v>
      </c>
      <c r="BJ81" s="98" t="e">
        <f t="shared" ref="BJ81:BJ92" si="148">IF(AO81&gt;AP81,AP81,AO81)</f>
        <v>#REF!</v>
      </c>
    </row>
    <row r="82" spans="1:62">
      <c r="A82" s="175">
        <v>5</v>
      </c>
      <c r="B82" s="195" t="s">
        <v>516</v>
      </c>
      <c r="C82" s="1203">
        <f t="shared" si="141"/>
        <v>1800</v>
      </c>
      <c r="D82" s="1204">
        <v>2.5</v>
      </c>
      <c r="E82" s="196">
        <f t="shared" si="142"/>
        <v>0</v>
      </c>
      <c r="F82" s="197">
        <v>0</v>
      </c>
      <c r="G82" s="179">
        <f>IF(Setup!$L$8="No",0,J82+Q82+X82+AE82)+IF(Setup!$R$21="No",0,'Units&amp;Income'!AL82)</f>
        <v>0</v>
      </c>
      <c r="H82" s="242"/>
      <c r="I82" s="179">
        <f>IF(Sources!$D$10&gt;0,J82+Q82+X82+AE82,IF(Sources!$D$11&gt;0,H82,0))</f>
        <v>0</v>
      </c>
      <c r="J82" s="206">
        <v>0</v>
      </c>
      <c r="K82" s="206">
        <v>0</v>
      </c>
      <c r="L82" s="207">
        <f t="shared" si="129"/>
        <v>0</v>
      </c>
      <c r="M82" s="208">
        <f t="shared" ref="M82:O92" si="149">M81</f>
        <v>0</v>
      </c>
      <c r="N82" s="208" t="e">
        <f t="shared" si="149"/>
        <v>#REF!</v>
      </c>
      <c r="O82" s="209">
        <f t="shared" si="149"/>
        <v>0</v>
      </c>
      <c r="P82" s="209">
        <f t="shared" si="130"/>
        <v>0</v>
      </c>
      <c r="Q82" s="198">
        <v>0</v>
      </c>
      <c r="R82" s="198">
        <v>0</v>
      </c>
      <c r="S82" s="199">
        <f t="shared" si="131"/>
        <v>0</v>
      </c>
      <c r="T82" s="200">
        <f t="shared" ref="T82:V92" si="150">T81</f>
        <v>0</v>
      </c>
      <c r="U82" s="200" t="e">
        <f t="shared" si="150"/>
        <v>#REF!</v>
      </c>
      <c r="V82" s="201">
        <f t="shared" si="150"/>
        <v>0</v>
      </c>
      <c r="W82" s="243">
        <f t="shared" si="143"/>
        <v>0</v>
      </c>
      <c r="X82" s="202">
        <v>0</v>
      </c>
      <c r="Y82" s="202"/>
      <c r="Z82" s="203">
        <f t="shared" si="132"/>
        <v>0</v>
      </c>
      <c r="AA82" s="204">
        <f t="shared" ref="AA82:AC92" si="151">AA81</f>
        <v>0</v>
      </c>
      <c r="AB82" s="204" t="e">
        <f t="shared" si="151"/>
        <v>#REF!</v>
      </c>
      <c r="AC82" s="205">
        <f t="shared" si="151"/>
        <v>0</v>
      </c>
      <c r="AD82" s="205">
        <f t="shared" si="144"/>
        <v>0</v>
      </c>
      <c r="AE82" s="206">
        <v>0</v>
      </c>
      <c r="AF82" s="206">
        <v>0</v>
      </c>
      <c r="AG82" s="207">
        <f t="shared" si="133"/>
        <v>0</v>
      </c>
      <c r="AH82" s="208">
        <f t="shared" ref="AH82:AJ92" si="152">AH81</f>
        <v>0</v>
      </c>
      <c r="AI82" s="208" t="e">
        <f t="shared" si="152"/>
        <v>#REF!</v>
      </c>
      <c r="AJ82" s="209">
        <f t="shared" si="152"/>
        <v>0</v>
      </c>
      <c r="AK82" s="209">
        <f t="shared" si="145"/>
        <v>0</v>
      </c>
      <c r="AL82" s="198">
        <v>0</v>
      </c>
      <c r="AM82" s="198">
        <v>0</v>
      </c>
      <c r="AN82" s="199">
        <f t="shared" si="134"/>
        <v>0</v>
      </c>
      <c r="AO82" s="200">
        <f t="shared" ref="AO82:AQ92" si="153">AO81</f>
        <v>0</v>
      </c>
      <c r="AP82" s="200" t="e">
        <f t="shared" si="153"/>
        <v>#REF!</v>
      </c>
      <c r="AQ82" s="201">
        <f t="shared" si="153"/>
        <v>0</v>
      </c>
      <c r="AR82" s="201">
        <f t="shared" si="146"/>
        <v>0</v>
      </c>
      <c r="AS82" s="202">
        <v>0</v>
      </c>
      <c r="AT82" s="202">
        <v>0</v>
      </c>
      <c r="AU82" s="203">
        <f t="shared" si="135"/>
        <v>0</v>
      </c>
      <c r="AV82" s="1202">
        <f t="shared" si="127"/>
        <v>0</v>
      </c>
      <c r="AW82" s="210">
        <f t="shared" si="136"/>
        <v>0</v>
      </c>
      <c r="AX82" s="196" t="str">
        <f t="shared" si="126"/>
        <v/>
      </c>
      <c r="BB82" s="98">
        <f t="shared" si="137"/>
        <v>0</v>
      </c>
      <c r="BC82" s="968">
        <f t="shared" si="128"/>
        <v>0</v>
      </c>
      <c r="BF82" s="112" t="e">
        <f t="shared" si="147"/>
        <v>#REF!</v>
      </c>
      <c r="BG82" s="117" t="e">
        <f t="shared" si="138"/>
        <v>#REF!</v>
      </c>
      <c r="BH82" s="112" t="e">
        <f t="shared" si="139"/>
        <v>#REF!</v>
      </c>
      <c r="BI82" s="117" t="e">
        <f t="shared" si="140"/>
        <v>#REF!</v>
      </c>
      <c r="BJ82" s="98" t="e">
        <f t="shared" si="148"/>
        <v>#REF!</v>
      </c>
    </row>
    <row r="83" spans="1:62">
      <c r="A83" s="175">
        <v>5</v>
      </c>
      <c r="B83" s="195" t="s">
        <v>517</v>
      </c>
      <c r="C83" s="1203">
        <f t="shared" si="141"/>
        <v>1800</v>
      </c>
      <c r="D83" s="1204">
        <v>2.5</v>
      </c>
      <c r="E83" s="196">
        <f t="shared" si="142"/>
        <v>0</v>
      </c>
      <c r="F83" s="197">
        <v>0</v>
      </c>
      <c r="G83" s="179">
        <f>IF(Setup!$L$8="No",0,J83+Q83+X83+AE83)+IF(Setup!$R$21="No",0,'Units&amp;Income'!AL83)</f>
        <v>0</v>
      </c>
      <c r="H83" s="242"/>
      <c r="I83" s="179">
        <f>IF(Sources!$D$10&gt;0,J83+Q83+X83+AE83,IF(Sources!$D$11&gt;0,H83,0))</f>
        <v>0</v>
      </c>
      <c r="J83" s="206">
        <v>0</v>
      </c>
      <c r="K83" s="206">
        <v>0</v>
      </c>
      <c r="L83" s="207">
        <f t="shared" si="129"/>
        <v>0</v>
      </c>
      <c r="M83" s="208">
        <f t="shared" si="149"/>
        <v>0</v>
      </c>
      <c r="N83" s="208" t="e">
        <f t="shared" si="149"/>
        <v>#REF!</v>
      </c>
      <c r="O83" s="209">
        <f t="shared" si="149"/>
        <v>0</v>
      </c>
      <c r="P83" s="209">
        <f t="shared" si="130"/>
        <v>0</v>
      </c>
      <c r="Q83" s="198">
        <v>0</v>
      </c>
      <c r="R83" s="198">
        <v>0</v>
      </c>
      <c r="S83" s="199">
        <f t="shared" si="131"/>
        <v>0</v>
      </c>
      <c r="T83" s="200">
        <f t="shared" si="150"/>
        <v>0</v>
      </c>
      <c r="U83" s="200" t="e">
        <f t="shared" si="150"/>
        <v>#REF!</v>
      </c>
      <c r="V83" s="201">
        <f t="shared" si="150"/>
        <v>0</v>
      </c>
      <c r="W83" s="243">
        <f t="shared" si="143"/>
        <v>0</v>
      </c>
      <c r="X83" s="202">
        <v>0</v>
      </c>
      <c r="Y83" s="202">
        <v>0</v>
      </c>
      <c r="Z83" s="203">
        <f t="shared" si="132"/>
        <v>0</v>
      </c>
      <c r="AA83" s="204">
        <f t="shared" si="151"/>
        <v>0</v>
      </c>
      <c r="AB83" s="204" t="e">
        <f t="shared" si="151"/>
        <v>#REF!</v>
      </c>
      <c r="AC83" s="205">
        <f t="shared" si="151"/>
        <v>0</v>
      </c>
      <c r="AD83" s="205">
        <f t="shared" si="144"/>
        <v>0</v>
      </c>
      <c r="AE83" s="206">
        <v>0</v>
      </c>
      <c r="AF83" s="206">
        <v>0</v>
      </c>
      <c r="AG83" s="207">
        <f t="shared" si="133"/>
        <v>0</v>
      </c>
      <c r="AH83" s="208">
        <f t="shared" si="152"/>
        <v>0</v>
      </c>
      <c r="AI83" s="208" t="e">
        <f t="shared" si="152"/>
        <v>#REF!</v>
      </c>
      <c r="AJ83" s="209">
        <f t="shared" si="152"/>
        <v>0</v>
      </c>
      <c r="AK83" s="209">
        <f t="shared" si="145"/>
        <v>0</v>
      </c>
      <c r="AL83" s="198">
        <v>0</v>
      </c>
      <c r="AM83" s="198">
        <v>0</v>
      </c>
      <c r="AN83" s="199">
        <f t="shared" si="134"/>
        <v>0</v>
      </c>
      <c r="AO83" s="200">
        <f t="shared" si="153"/>
        <v>0</v>
      </c>
      <c r="AP83" s="200" t="e">
        <f t="shared" si="153"/>
        <v>#REF!</v>
      </c>
      <c r="AQ83" s="201">
        <f t="shared" si="153"/>
        <v>0</v>
      </c>
      <c r="AR83" s="201">
        <f t="shared" si="146"/>
        <v>0</v>
      </c>
      <c r="AS83" s="202">
        <v>0</v>
      </c>
      <c r="AT83" s="202">
        <v>0</v>
      </c>
      <c r="AU83" s="203">
        <f t="shared" si="135"/>
        <v>0</v>
      </c>
      <c r="AV83" s="1202">
        <f t="shared" si="127"/>
        <v>0</v>
      </c>
      <c r="AW83" s="210">
        <f t="shared" si="136"/>
        <v>0</v>
      </c>
      <c r="AX83" s="196" t="str">
        <f t="shared" si="126"/>
        <v/>
      </c>
      <c r="BB83" s="98">
        <f t="shared" si="137"/>
        <v>0</v>
      </c>
      <c r="BC83" s="968">
        <f t="shared" si="128"/>
        <v>0</v>
      </c>
      <c r="BF83" s="112" t="e">
        <f t="shared" si="147"/>
        <v>#REF!</v>
      </c>
      <c r="BG83" s="117" t="e">
        <f t="shared" si="138"/>
        <v>#REF!</v>
      </c>
      <c r="BH83" s="112" t="e">
        <f t="shared" si="139"/>
        <v>#REF!</v>
      </c>
      <c r="BI83" s="117" t="e">
        <f t="shared" si="140"/>
        <v>#REF!</v>
      </c>
      <c r="BJ83" s="98" t="e">
        <f t="shared" si="148"/>
        <v>#REF!</v>
      </c>
    </row>
    <row r="84" spans="1:62">
      <c r="A84" s="175">
        <v>5</v>
      </c>
      <c r="B84" s="195" t="s">
        <v>518</v>
      </c>
      <c r="C84" s="1203">
        <f t="shared" si="141"/>
        <v>1800</v>
      </c>
      <c r="D84" s="1204">
        <v>2.5</v>
      </c>
      <c r="E84" s="196">
        <f t="shared" si="142"/>
        <v>0</v>
      </c>
      <c r="F84" s="197">
        <v>0</v>
      </c>
      <c r="G84" s="179">
        <f>IF(Setup!$L$8="No",0,J84+Q84+X84+AE84)</f>
        <v>0</v>
      </c>
      <c r="H84" s="242"/>
      <c r="I84" s="179">
        <f>IF(Sources!$D$10&gt;0,J84+Q84+X84+AE84,IF(Sources!$D$11&gt;0,H84,0))</f>
        <v>0</v>
      </c>
      <c r="J84" s="206">
        <v>0</v>
      </c>
      <c r="K84" s="206">
        <v>0</v>
      </c>
      <c r="L84" s="207">
        <f t="shared" si="129"/>
        <v>0</v>
      </c>
      <c r="M84" s="208">
        <f t="shared" si="149"/>
        <v>0</v>
      </c>
      <c r="N84" s="208" t="e">
        <f t="shared" si="149"/>
        <v>#REF!</v>
      </c>
      <c r="O84" s="209">
        <f t="shared" si="149"/>
        <v>0</v>
      </c>
      <c r="P84" s="209">
        <f t="shared" si="130"/>
        <v>0</v>
      </c>
      <c r="Q84" s="198">
        <v>0</v>
      </c>
      <c r="R84" s="198">
        <v>0</v>
      </c>
      <c r="S84" s="199">
        <f t="shared" si="131"/>
        <v>0</v>
      </c>
      <c r="T84" s="200">
        <f t="shared" si="150"/>
        <v>0</v>
      </c>
      <c r="U84" s="200" t="e">
        <f t="shared" si="150"/>
        <v>#REF!</v>
      </c>
      <c r="V84" s="201">
        <f t="shared" si="150"/>
        <v>0</v>
      </c>
      <c r="W84" s="243">
        <f t="shared" si="143"/>
        <v>0</v>
      </c>
      <c r="X84" s="202">
        <v>0</v>
      </c>
      <c r="Y84" s="202">
        <v>0</v>
      </c>
      <c r="Z84" s="203">
        <f t="shared" si="132"/>
        <v>0</v>
      </c>
      <c r="AA84" s="204">
        <f t="shared" si="151"/>
        <v>0</v>
      </c>
      <c r="AB84" s="204" t="e">
        <f t="shared" si="151"/>
        <v>#REF!</v>
      </c>
      <c r="AC84" s="205">
        <f t="shared" si="151"/>
        <v>0</v>
      </c>
      <c r="AD84" s="205">
        <f t="shared" si="144"/>
        <v>0</v>
      </c>
      <c r="AE84" s="206">
        <v>0</v>
      </c>
      <c r="AF84" s="206">
        <v>0</v>
      </c>
      <c r="AG84" s="207">
        <f t="shared" si="133"/>
        <v>0</v>
      </c>
      <c r="AH84" s="208">
        <f t="shared" si="152"/>
        <v>0</v>
      </c>
      <c r="AI84" s="208" t="e">
        <f t="shared" si="152"/>
        <v>#REF!</v>
      </c>
      <c r="AJ84" s="209">
        <f t="shared" si="152"/>
        <v>0</v>
      </c>
      <c r="AK84" s="209">
        <f t="shared" si="145"/>
        <v>0</v>
      </c>
      <c r="AL84" s="198">
        <v>0</v>
      </c>
      <c r="AM84" s="198">
        <v>0</v>
      </c>
      <c r="AN84" s="199">
        <f t="shared" si="134"/>
        <v>0</v>
      </c>
      <c r="AO84" s="200">
        <f t="shared" si="153"/>
        <v>0</v>
      </c>
      <c r="AP84" s="200" t="e">
        <f t="shared" si="153"/>
        <v>#REF!</v>
      </c>
      <c r="AQ84" s="201">
        <f t="shared" si="153"/>
        <v>0</v>
      </c>
      <c r="AR84" s="201">
        <f t="shared" si="146"/>
        <v>0</v>
      </c>
      <c r="AS84" s="202">
        <v>0</v>
      </c>
      <c r="AT84" s="202">
        <v>0</v>
      </c>
      <c r="AU84" s="203">
        <f t="shared" si="135"/>
        <v>0</v>
      </c>
      <c r="AV84" s="1202">
        <f t="shared" si="127"/>
        <v>0</v>
      </c>
      <c r="AW84" s="210">
        <f t="shared" si="136"/>
        <v>0</v>
      </c>
      <c r="AX84" s="196" t="str">
        <f t="shared" si="126"/>
        <v/>
      </c>
      <c r="BB84" s="98">
        <f t="shared" si="137"/>
        <v>0</v>
      </c>
      <c r="BC84" s="968">
        <f t="shared" si="128"/>
        <v>0</v>
      </c>
      <c r="BF84" s="112" t="e">
        <f t="shared" si="147"/>
        <v>#REF!</v>
      </c>
      <c r="BG84" s="117" t="e">
        <f t="shared" si="138"/>
        <v>#REF!</v>
      </c>
      <c r="BH84" s="112" t="e">
        <f t="shared" si="139"/>
        <v>#REF!</v>
      </c>
      <c r="BI84" s="117" t="e">
        <f t="shared" si="140"/>
        <v>#REF!</v>
      </c>
      <c r="BJ84" s="98" t="e">
        <f t="shared" si="148"/>
        <v>#REF!</v>
      </c>
    </row>
    <row r="85" spans="1:62">
      <c r="A85" s="175">
        <v>5</v>
      </c>
      <c r="B85" s="195" t="s">
        <v>519</v>
      </c>
      <c r="C85" s="1203">
        <f t="shared" si="141"/>
        <v>1800</v>
      </c>
      <c r="D85" s="1204">
        <v>2.5</v>
      </c>
      <c r="E85" s="196">
        <f t="shared" si="142"/>
        <v>0</v>
      </c>
      <c r="F85" s="197">
        <v>0</v>
      </c>
      <c r="G85" s="179">
        <f>IF(Setup!$L$8="No",0,J85+Q85+X85+AE85)</f>
        <v>0</v>
      </c>
      <c r="H85" s="242"/>
      <c r="I85" s="179">
        <f>IF(Sources!$D$10&gt;0,J85+Q85+X85+AE85,IF(Sources!$D$11&gt;0,H85,0))</f>
        <v>0</v>
      </c>
      <c r="J85" s="206">
        <v>0</v>
      </c>
      <c r="K85" s="206">
        <v>0</v>
      </c>
      <c r="L85" s="207">
        <f t="shared" si="129"/>
        <v>0</v>
      </c>
      <c r="M85" s="208">
        <f t="shared" si="149"/>
        <v>0</v>
      </c>
      <c r="N85" s="208" t="e">
        <f t="shared" si="149"/>
        <v>#REF!</v>
      </c>
      <c r="O85" s="209">
        <f t="shared" si="149"/>
        <v>0</v>
      </c>
      <c r="P85" s="209">
        <f t="shared" si="130"/>
        <v>0</v>
      </c>
      <c r="Q85" s="198">
        <v>0</v>
      </c>
      <c r="R85" s="198">
        <v>0</v>
      </c>
      <c r="S85" s="199">
        <f t="shared" si="131"/>
        <v>0</v>
      </c>
      <c r="T85" s="200">
        <f t="shared" si="150"/>
        <v>0</v>
      </c>
      <c r="U85" s="200" t="e">
        <f t="shared" si="150"/>
        <v>#REF!</v>
      </c>
      <c r="V85" s="201">
        <f t="shared" si="150"/>
        <v>0</v>
      </c>
      <c r="W85" s="243">
        <f t="shared" si="143"/>
        <v>0</v>
      </c>
      <c r="X85" s="202">
        <v>0</v>
      </c>
      <c r="Y85" s="202">
        <v>0</v>
      </c>
      <c r="Z85" s="203">
        <f t="shared" si="132"/>
        <v>0</v>
      </c>
      <c r="AA85" s="204">
        <f t="shared" si="151"/>
        <v>0</v>
      </c>
      <c r="AB85" s="204" t="e">
        <f t="shared" si="151"/>
        <v>#REF!</v>
      </c>
      <c r="AC85" s="205">
        <f t="shared" si="151"/>
        <v>0</v>
      </c>
      <c r="AD85" s="205">
        <f t="shared" si="144"/>
        <v>0</v>
      </c>
      <c r="AE85" s="206">
        <v>0</v>
      </c>
      <c r="AF85" s="206">
        <v>0</v>
      </c>
      <c r="AG85" s="207">
        <f t="shared" si="133"/>
        <v>0</v>
      </c>
      <c r="AH85" s="208">
        <f t="shared" si="152"/>
        <v>0</v>
      </c>
      <c r="AI85" s="208" t="e">
        <f t="shared" si="152"/>
        <v>#REF!</v>
      </c>
      <c r="AJ85" s="209">
        <f t="shared" si="152"/>
        <v>0</v>
      </c>
      <c r="AK85" s="209">
        <f t="shared" si="145"/>
        <v>0</v>
      </c>
      <c r="AL85" s="198">
        <v>0</v>
      </c>
      <c r="AM85" s="198">
        <v>0</v>
      </c>
      <c r="AN85" s="199">
        <f t="shared" si="134"/>
        <v>0</v>
      </c>
      <c r="AO85" s="200">
        <f t="shared" si="153"/>
        <v>0</v>
      </c>
      <c r="AP85" s="200" t="e">
        <f t="shared" si="153"/>
        <v>#REF!</v>
      </c>
      <c r="AQ85" s="201">
        <f t="shared" si="153"/>
        <v>0</v>
      </c>
      <c r="AR85" s="201">
        <f t="shared" si="146"/>
        <v>0</v>
      </c>
      <c r="AS85" s="202">
        <v>0</v>
      </c>
      <c r="AT85" s="202">
        <v>0</v>
      </c>
      <c r="AU85" s="203">
        <f t="shared" si="135"/>
        <v>0</v>
      </c>
      <c r="AV85" s="1202">
        <f t="shared" si="127"/>
        <v>0</v>
      </c>
      <c r="AW85" s="210">
        <f t="shared" si="136"/>
        <v>0</v>
      </c>
      <c r="AX85" s="196" t="str">
        <f t="shared" si="126"/>
        <v/>
      </c>
      <c r="BB85" s="98">
        <f t="shared" si="137"/>
        <v>0</v>
      </c>
      <c r="BC85" s="968">
        <f t="shared" si="128"/>
        <v>0</v>
      </c>
      <c r="BF85" s="112" t="e">
        <f t="shared" si="147"/>
        <v>#REF!</v>
      </c>
      <c r="BG85" s="117" t="e">
        <f t="shared" si="138"/>
        <v>#REF!</v>
      </c>
      <c r="BH85" s="112" t="e">
        <f t="shared" si="139"/>
        <v>#REF!</v>
      </c>
      <c r="BI85" s="117" t="e">
        <f t="shared" si="140"/>
        <v>#REF!</v>
      </c>
      <c r="BJ85" s="98" t="e">
        <f t="shared" si="148"/>
        <v>#REF!</v>
      </c>
    </row>
    <row r="86" spans="1:62">
      <c r="A86" s="175">
        <v>5</v>
      </c>
      <c r="B86" s="195" t="s">
        <v>520</v>
      </c>
      <c r="C86" s="1203">
        <f t="shared" si="141"/>
        <v>1800</v>
      </c>
      <c r="D86" s="1204">
        <v>2.5</v>
      </c>
      <c r="E86" s="196">
        <f t="shared" si="142"/>
        <v>0</v>
      </c>
      <c r="F86" s="197">
        <v>0</v>
      </c>
      <c r="G86" s="179">
        <f>IF(Setup!$L$8="No",0,J86+Q86+X86+AE86)</f>
        <v>0</v>
      </c>
      <c r="H86" s="242"/>
      <c r="I86" s="179">
        <f>IF(Sources!$D$10&gt;0,J86+Q86+X86+AE86,IF(Sources!$D$11&gt;0,H86,0))</f>
        <v>0</v>
      </c>
      <c r="J86" s="206">
        <v>0</v>
      </c>
      <c r="K86" s="206">
        <v>0</v>
      </c>
      <c r="L86" s="207">
        <f t="shared" si="129"/>
        <v>0</v>
      </c>
      <c r="M86" s="208">
        <f t="shared" si="149"/>
        <v>0</v>
      </c>
      <c r="N86" s="208" t="e">
        <f t="shared" si="149"/>
        <v>#REF!</v>
      </c>
      <c r="O86" s="209">
        <f t="shared" si="149"/>
        <v>0</v>
      </c>
      <c r="P86" s="209">
        <f t="shared" si="130"/>
        <v>0</v>
      </c>
      <c r="Q86" s="198">
        <v>0</v>
      </c>
      <c r="R86" s="198">
        <v>0</v>
      </c>
      <c r="S86" s="199">
        <f t="shared" si="131"/>
        <v>0</v>
      </c>
      <c r="T86" s="200">
        <f t="shared" si="150"/>
        <v>0</v>
      </c>
      <c r="U86" s="200" t="e">
        <f t="shared" si="150"/>
        <v>#REF!</v>
      </c>
      <c r="V86" s="201">
        <f t="shared" si="150"/>
        <v>0</v>
      </c>
      <c r="W86" s="243">
        <f t="shared" si="143"/>
        <v>0</v>
      </c>
      <c r="X86" s="202">
        <v>0</v>
      </c>
      <c r="Y86" s="202"/>
      <c r="Z86" s="203">
        <f t="shared" si="132"/>
        <v>0</v>
      </c>
      <c r="AA86" s="204">
        <f t="shared" si="151"/>
        <v>0</v>
      </c>
      <c r="AB86" s="204" t="e">
        <f t="shared" si="151"/>
        <v>#REF!</v>
      </c>
      <c r="AC86" s="205">
        <f t="shared" si="151"/>
        <v>0</v>
      </c>
      <c r="AD86" s="205">
        <f t="shared" si="144"/>
        <v>0</v>
      </c>
      <c r="AE86" s="206">
        <v>0</v>
      </c>
      <c r="AF86" s="206">
        <v>0</v>
      </c>
      <c r="AG86" s="207">
        <f t="shared" si="133"/>
        <v>0</v>
      </c>
      <c r="AH86" s="208">
        <f t="shared" si="152"/>
        <v>0</v>
      </c>
      <c r="AI86" s="208" t="e">
        <f t="shared" si="152"/>
        <v>#REF!</v>
      </c>
      <c r="AJ86" s="209">
        <f t="shared" si="152"/>
        <v>0</v>
      </c>
      <c r="AK86" s="209">
        <f t="shared" si="145"/>
        <v>0</v>
      </c>
      <c r="AL86" s="198">
        <v>0</v>
      </c>
      <c r="AM86" s="198">
        <v>0</v>
      </c>
      <c r="AN86" s="199">
        <f t="shared" si="134"/>
        <v>0</v>
      </c>
      <c r="AO86" s="200">
        <f t="shared" si="153"/>
        <v>0</v>
      </c>
      <c r="AP86" s="200" t="e">
        <f t="shared" si="153"/>
        <v>#REF!</v>
      </c>
      <c r="AQ86" s="201">
        <f t="shared" si="153"/>
        <v>0</v>
      </c>
      <c r="AR86" s="201">
        <f t="shared" si="146"/>
        <v>0</v>
      </c>
      <c r="AS86" s="202">
        <v>0</v>
      </c>
      <c r="AT86" s="202">
        <v>0</v>
      </c>
      <c r="AU86" s="203">
        <f t="shared" si="135"/>
        <v>0</v>
      </c>
      <c r="AV86" s="1202">
        <f t="shared" si="127"/>
        <v>0</v>
      </c>
      <c r="AW86" s="210">
        <f t="shared" si="136"/>
        <v>0</v>
      </c>
      <c r="AX86" s="196" t="str">
        <f t="shared" si="126"/>
        <v/>
      </c>
      <c r="BB86" s="98">
        <f t="shared" si="137"/>
        <v>0</v>
      </c>
      <c r="BC86" s="968">
        <f t="shared" si="128"/>
        <v>0</v>
      </c>
      <c r="BF86" s="112" t="e">
        <f t="shared" si="147"/>
        <v>#REF!</v>
      </c>
      <c r="BG86" s="117" t="e">
        <f t="shared" si="138"/>
        <v>#REF!</v>
      </c>
      <c r="BH86" s="112" t="e">
        <f t="shared" si="139"/>
        <v>#REF!</v>
      </c>
      <c r="BI86" s="117" t="e">
        <f t="shared" si="140"/>
        <v>#REF!</v>
      </c>
      <c r="BJ86" s="98" t="e">
        <f t="shared" si="148"/>
        <v>#REF!</v>
      </c>
    </row>
    <row r="87" spans="1:62">
      <c r="A87" s="175">
        <v>5</v>
      </c>
      <c r="B87" s="195" t="s">
        <v>521</v>
      </c>
      <c r="C87" s="1203">
        <f t="shared" si="141"/>
        <v>1800</v>
      </c>
      <c r="D87" s="1204">
        <v>2.5</v>
      </c>
      <c r="E87" s="196">
        <f t="shared" si="142"/>
        <v>0</v>
      </c>
      <c r="F87" s="197">
        <v>0</v>
      </c>
      <c r="G87" s="179">
        <f>IF(Setup!$L$8="No",0,J87+Q87+X87+AE87)</f>
        <v>0</v>
      </c>
      <c r="H87" s="242"/>
      <c r="I87" s="179">
        <f>IF(Sources!$D$10&gt;0,J87+Q87+X87+AE87,IF(Sources!$D$11&gt;0,H87,0))</f>
        <v>0</v>
      </c>
      <c r="J87" s="206">
        <v>0</v>
      </c>
      <c r="K87" s="206">
        <v>0</v>
      </c>
      <c r="L87" s="207">
        <f t="shared" si="129"/>
        <v>0</v>
      </c>
      <c r="M87" s="208">
        <f t="shared" si="149"/>
        <v>0</v>
      </c>
      <c r="N87" s="208" t="e">
        <f t="shared" si="149"/>
        <v>#REF!</v>
      </c>
      <c r="O87" s="209">
        <f t="shared" si="149"/>
        <v>0</v>
      </c>
      <c r="P87" s="209">
        <f t="shared" si="130"/>
        <v>0</v>
      </c>
      <c r="Q87" s="198">
        <v>0</v>
      </c>
      <c r="R87" s="198">
        <v>0</v>
      </c>
      <c r="S87" s="199">
        <f t="shared" si="131"/>
        <v>0</v>
      </c>
      <c r="T87" s="200">
        <f t="shared" si="150"/>
        <v>0</v>
      </c>
      <c r="U87" s="200" t="e">
        <f t="shared" si="150"/>
        <v>#REF!</v>
      </c>
      <c r="V87" s="201">
        <f t="shared" si="150"/>
        <v>0</v>
      </c>
      <c r="W87" s="243">
        <f t="shared" si="143"/>
        <v>0</v>
      </c>
      <c r="X87" s="202">
        <v>0</v>
      </c>
      <c r="Y87" s="202"/>
      <c r="Z87" s="203">
        <f t="shared" si="132"/>
        <v>0</v>
      </c>
      <c r="AA87" s="204">
        <f t="shared" si="151"/>
        <v>0</v>
      </c>
      <c r="AB87" s="204" t="e">
        <f t="shared" si="151"/>
        <v>#REF!</v>
      </c>
      <c r="AC87" s="205">
        <f t="shared" si="151"/>
        <v>0</v>
      </c>
      <c r="AD87" s="205">
        <f t="shared" si="144"/>
        <v>0</v>
      </c>
      <c r="AE87" s="206">
        <v>0</v>
      </c>
      <c r="AF87" s="206">
        <v>0</v>
      </c>
      <c r="AG87" s="207">
        <f t="shared" si="133"/>
        <v>0</v>
      </c>
      <c r="AH87" s="208">
        <f t="shared" si="152"/>
        <v>0</v>
      </c>
      <c r="AI87" s="208" t="e">
        <f t="shared" si="152"/>
        <v>#REF!</v>
      </c>
      <c r="AJ87" s="209">
        <f t="shared" si="152"/>
        <v>0</v>
      </c>
      <c r="AK87" s="209">
        <f t="shared" si="145"/>
        <v>0</v>
      </c>
      <c r="AL87" s="198">
        <v>0</v>
      </c>
      <c r="AM87" s="198">
        <v>0</v>
      </c>
      <c r="AN87" s="199">
        <f t="shared" si="134"/>
        <v>0</v>
      </c>
      <c r="AO87" s="200">
        <f t="shared" si="153"/>
        <v>0</v>
      </c>
      <c r="AP87" s="200" t="e">
        <f t="shared" si="153"/>
        <v>#REF!</v>
      </c>
      <c r="AQ87" s="201">
        <f t="shared" si="153"/>
        <v>0</v>
      </c>
      <c r="AR87" s="201">
        <f t="shared" si="146"/>
        <v>0</v>
      </c>
      <c r="AS87" s="202">
        <v>0</v>
      </c>
      <c r="AT87" s="202">
        <v>0</v>
      </c>
      <c r="AU87" s="203">
        <f t="shared" si="135"/>
        <v>0</v>
      </c>
      <c r="AV87" s="1202">
        <f t="shared" si="127"/>
        <v>0</v>
      </c>
      <c r="AW87" s="210">
        <f t="shared" si="136"/>
        <v>0</v>
      </c>
      <c r="AX87" s="196" t="str">
        <f t="shared" si="126"/>
        <v/>
      </c>
      <c r="BB87" s="98">
        <f t="shared" si="137"/>
        <v>0</v>
      </c>
      <c r="BC87" s="968">
        <f t="shared" si="128"/>
        <v>0</v>
      </c>
      <c r="BF87" s="112" t="e">
        <f t="shared" si="147"/>
        <v>#REF!</v>
      </c>
      <c r="BG87" s="117" t="e">
        <f t="shared" si="138"/>
        <v>#REF!</v>
      </c>
      <c r="BH87" s="112" t="e">
        <f t="shared" si="139"/>
        <v>#REF!</v>
      </c>
      <c r="BI87" s="117" t="e">
        <f t="shared" si="140"/>
        <v>#REF!</v>
      </c>
      <c r="BJ87" s="98" t="e">
        <f t="shared" si="148"/>
        <v>#REF!</v>
      </c>
    </row>
    <row r="88" spans="1:62" hidden="1" outlineLevel="1">
      <c r="A88" s="175">
        <v>5</v>
      </c>
      <c r="B88" s="195" t="s">
        <v>522</v>
      </c>
      <c r="C88" s="1203">
        <f t="shared" si="141"/>
        <v>1800</v>
      </c>
      <c r="D88" s="1204">
        <v>2.5</v>
      </c>
      <c r="E88" s="196">
        <f t="shared" si="142"/>
        <v>0</v>
      </c>
      <c r="F88" s="197">
        <v>0</v>
      </c>
      <c r="G88" s="179">
        <f>IF(Setup!$L$8="No",0,J88+Q88+X88+AE88)</f>
        <v>0</v>
      </c>
      <c r="H88" s="242"/>
      <c r="I88" s="179">
        <f>IF(Sources!$D$10&gt;0,J88+Q88+X88+AE88,IF(Sources!$D$11&gt;0,H88,0))</f>
        <v>0</v>
      </c>
      <c r="J88" s="206">
        <v>0</v>
      </c>
      <c r="K88" s="206">
        <v>0</v>
      </c>
      <c r="L88" s="207">
        <f t="shared" si="129"/>
        <v>0</v>
      </c>
      <c r="M88" s="208">
        <f t="shared" si="149"/>
        <v>0</v>
      </c>
      <c r="N88" s="208" t="e">
        <f t="shared" si="149"/>
        <v>#REF!</v>
      </c>
      <c r="O88" s="209">
        <f t="shared" si="149"/>
        <v>0</v>
      </c>
      <c r="P88" s="209">
        <f t="shared" si="130"/>
        <v>0</v>
      </c>
      <c r="Q88" s="198">
        <v>0</v>
      </c>
      <c r="R88" s="198">
        <v>0</v>
      </c>
      <c r="S88" s="199">
        <f t="shared" si="131"/>
        <v>0</v>
      </c>
      <c r="T88" s="200">
        <f t="shared" si="150"/>
        <v>0</v>
      </c>
      <c r="U88" s="200" t="e">
        <f t="shared" si="150"/>
        <v>#REF!</v>
      </c>
      <c r="V88" s="201">
        <f t="shared" si="150"/>
        <v>0</v>
      </c>
      <c r="W88" s="243">
        <f t="shared" si="143"/>
        <v>0</v>
      </c>
      <c r="X88" s="202">
        <v>0</v>
      </c>
      <c r="Y88" s="202"/>
      <c r="Z88" s="203">
        <f t="shared" si="132"/>
        <v>0</v>
      </c>
      <c r="AA88" s="204">
        <f t="shared" si="151"/>
        <v>0</v>
      </c>
      <c r="AB88" s="204" t="e">
        <f t="shared" si="151"/>
        <v>#REF!</v>
      </c>
      <c r="AC88" s="205">
        <f t="shared" si="151"/>
        <v>0</v>
      </c>
      <c r="AD88" s="205">
        <f t="shared" si="144"/>
        <v>0</v>
      </c>
      <c r="AE88" s="206">
        <v>0</v>
      </c>
      <c r="AF88" s="206">
        <v>0</v>
      </c>
      <c r="AG88" s="207">
        <f t="shared" si="133"/>
        <v>0</v>
      </c>
      <c r="AH88" s="208">
        <f t="shared" si="152"/>
        <v>0</v>
      </c>
      <c r="AI88" s="208" t="e">
        <f t="shared" si="152"/>
        <v>#REF!</v>
      </c>
      <c r="AJ88" s="209">
        <f t="shared" si="152"/>
        <v>0</v>
      </c>
      <c r="AK88" s="209">
        <f t="shared" si="145"/>
        <v>0</v>
      </c>
      <c r="AL88" s="198">
        <v>0</v>
      </c>
      <c r="AM88" s="198">
        <v>0</v>
      </c>
      <c r="AN88" s="199">
        <f t="shared" si="134"/>
        <v>0</v>
      </c>
      <c r="AO88" s="200">
        <f t="shared" si="153"/>
        <v>0</v>
      </c>
      <c r="AP88" s="200" t="e">
        <f t="shared" si="153"/>
        <v>#REF!</v>
      </c>
      <c r="AQ88" s="201">
        <f t="shared" si="153"/>
        <v>0</v>
      </c>
      <c r="AR88" s="201">
        <f t="shared" si="146"/>
        <v>0</v>
      </c>
      <c r="AS88" s="202">
        <v>0</v>
      </c>
      <c r="AT88" s="202">
        <v>0</v>
      </c>
      <c r="AU88" s="203">
        <f t="shared" si="135"/>
        <v>0</v>
      </c>
      <c r="AV88" s="1202">
        <f t="shared" si="127"/>
        <v>0</v>
      </c>
      <c r="AW88" s="210">
        <f t="shared" si="136"/>
        <v>0</v>
      </c>
      <c r="AX88" s="196" t="str">
        <f t="shared" si="126"/>
        <v/>
      </c>
      <c r="BB88" s="98">
        <f t="shared" si="137"/>
        <v>0</v>
      </c>
      <c r="BC88" s="968">
        <f t="shared" si="128"/>
        <v>0</v>
      </c>
      <c r="BF88" s="112" t="e">
        <f t="shared" si="147"/>
        <v>#REF!</v>
      </c>
      <c r="BG88" s="117" t="e">
        <f t="shared" si="138"/>
        <v>#REF!</v>
      </c>
      <c r="BH88" s="112" t="e">
        <f t="shared" si="139"/>
        <v>#REF!</v>
      </c>
      <c r="BI88" s="117" t="e">
        <f t="shared" si="140"/>
        <v>#REF!</v>
      </c>
      <c r="BJ88" s="98" t="e">
        <f t="shared" si="148"/>
        <v>#REF!</v>
      </c>
    </row>
    <row r="89" spans="1:62" hidden="1" outlineLevel="1">
      <c r="A89" s="175">
        <v>5</v>
      </c>
      <c r="B89" s="195" t="s">
        <v>523</v>
      </c>
      <c r="C89" s="1203">
        <f t="shared" si="141"/>
        <v>1800</v>
      </c>
      <c r="D89" s="1204">
        <v>2.5</v>
      </c>
      <c r="E89" s="196">
        <f t="shared" si="142"/>
        <v>0</v>
      </c>
      <c r="F89" s="197">
        <v>0</v>
      </c>
      <c r="G89" s="179">
        <f>IF(Setup!$L$8="No",0,J89+Q89+X89+AE89)</f>
        <v>0</v>
      </c>
      <c r="H89" s="242"/>
      <c r="I89" s="179">
        <f>IF(Sources!$D$10&gt;0,J89+Q89+X89+AE89,IF(Sources!$D$11&gt;0,H89,0))</f>
        <v>0</v>
      </c>
      <c r="J89" s="206">
        <v>0</v>
      </c>
      <c r="K89" s="206">
        <v>0</v>
      </c>
      <c r="L89" s="207">
        <f t="shared" si="129"/>
        <v>0</v>
      </c>
      <c r="M89" s="208">
        <f t="shared" si="149"/>
        <v>0</v>
      </c>
      <c r="N89" s="208" t="e">
        <f t="shared" si="149"/>
        <v>#REF!</v>
      </c>
      <c r="O89" s="209">
        <f t="shared" si="149"/>
        <v>0</v>
      </c>
      <c r="P89" s="209">
        <f t="shared" si="130"/>
        <v>0</v>
      </c>
      <c r="Q89" s="198">
        <v>0</v>
      </c>
      <c r="R89" s="198">
        <v>0</v>
      </c>
      <c r="S89" s="199">
        <f t="shared" si="131"/>
        <v>0</v>
      </c>
      <c r="T89" s="200">
        <f t="shared" si="150"/>
        <v>0</v>
      </c>
      <c r="U89" s="200" t="e">
        <f t="shared" si="150"/>
        <v>#REF!</v>
      </c>
      <c r="V89" s="201">
        <f t="shared" si="150"/>
        <v>0</v>
      </c>
      <c r="W89" s="243">
        <f t="shared" si="143"/>
        <v>0</v>
      </c>
      <c r="X89" s="202">
        <v>0</v>
      </c>
      <c r="Y89" s="202"/>
      <c r="Z89" s="203">
        <f t="shared" si="132"/>
        <v>0</v>
      </c>
      <c r="AA89" s="204">
        <f t="shared" si="151"/>
        <v>0</v>
      </c>
      <c r="AB89" s="204" t="e">
        <f t="shared" si="151"/>
        <v>#REF!</v>
      </c>
      <c r="AC89" s="205">
        <f t="shared" si="151"/>
        <v>0</v>
      </c>
      <c r="AD89" s="205">
        <f t="shared" si="144"/>
        <v>0</v>
      </c>
      <c r="AE89" s="206">
        <v>0</v>
      </c>
      <c r="AF89" s="206">
        <v>0</v>
      </c>
      <c r="AG89" s="207">
        <f t="shared" si="133"/>
        <v>0</v>
      </c>
      <c r="AH89" s="208">
        <f t="shared" si="152"/>
        <v>0</v>
      </c>
      <c r="AI89" s="208" t="e">
        <f t="shared" si="152"/>
        <v>#REF!</v>
      </c>
      <c r="AJ89" s="209">
        <f t="shared" si="152"/>
        <v>0</v>
      </c>
      <c r="AK89" s="209">
        <f t="shared" si="145"/>
        <v>0</v>
      </c>
      <c r="AL89" s="198">
        <v>0</v>
      </c>
      <c r="AM89" s="198">
        <v>0</v>
      </c>
      <c r="AN89" s="199">
        <f t="shared" si="134"/>
        <v>0</v>
      </c>
      <c r="AO89" s="200">
        <f t="shared" si="153"/>
        <v>0</v>
      </c>
      <c r="AP89" s="200" t="e">
        <f t="shared" si="153"/>
        <v>#REF!</v>
      </c>
      <c r="AQ89" s="201">
        <f t="shared" si="153"/>
        <v>0</v>
      </c>
      <c r="AR89" s="201">
        <f t="shared" si="146"/>
        <v>0</v>
      </c>
      <c r="AS89" s="202">
        <v>0</v>
      </c>
      <c r="AT89" s="202">
        <v>0</v>
      </c>
      <c r="AU89" s="203">
        <f t="shared" si="135"/>
        <v>0</v>
      </c>
      <c r="AV89" s="1202">
        <f t="shared" si="127"/>
        <v>0</v>
      </c>
      <c r="AW89" s="210">
        <f t="shared" si="136"/>
        <v>0</v>
      </c>
      <c r="AX89" s="196" t="str">
        <f t="shared" si="126"/>
        <v/>
      </c>
      <c r="BB89" s="98">
        <f t="shared" si="137"/>
        <v>0</v>
      </c>
      <c r="BC89" s="968">
        <f t="shared" si="128"/>
        <v>0</v>
      </c>
      <c r="BF89" s="112" t="e">
        <f t="shared" si="147"/>
        <v>#REF!</v>
      </c>
      <c r="BG89" s="117" t="e">
        <f t="shared" si="138"/>
        <v>#REF!</v>
      </c>
      <c r="BH89" s="112" t="e">
        <f t="shared" si="139"/>
        <v>#REF!</v>
      </c>
      <c r="BI89" s="117" t="e">
        <f t="shared" si="140"/>
        <v>#REF!</v>
      </c>
      <c r="BJ89" s="98" t="e">
        <f t="shared" si="148"/>
        <v>#REF!</v>
      </c>
    </row>
    <row r="90" spans="1:62" hidden="1" outlineLevel="1">
      <c r="A90" s="175">
        <v>5</v>
      </c>
      <c r="B90" s="195" t="s">
        <v>524</v>
      </c>
      <c r="C90" s="1203">
        <f t="shared" si="141"/>
        <v>1800</v>
      </c>
      <c r="D90" s="1204">
        <v>2.5</v>
      </c>
      <c r="E90" s="196">
        <f t="shared" si="142"/>
        <v>0</v>
      </c>
      <c r="F90" s="197">
        <v>0</v>
      </c>
      <c r="G90" s="179">
        <f>IF(Setup!$L$8="No",0,J90+Q90+X90+AE90)</f>
        <v>0</v>
      </c>
      <c r="H90" s="242"/>
      <c r="I90" s="179">
        <f>IF(Sources!$D$10&gt;0,J90+Q90+X90+AE90,IF(Sources!$D$11&gt;0,H90,0))</f>
        <v>0</v>
      </c>
      <c r="J90" s="206">
        <v>0</v>
      </c>
      <c r="K90" s="206">
        <v>0</v>
      </c>
      <c r="L90" s="207">
        <f t="shared" si="129"/>
        <v>0</v>
      </c>
      <c r="M90" s="208">
        <f t="shared" si="149"/>
        <v>0</v>
      </c>
      <c r="N90" s="208" t="e">
        <f t="shared" si="149"/>
        <v>#REF!</v>
      </c>
      <c r="O90" s="209">
        <f t="shared" si="149"/>
        <v>0</v>
      </c>
      <c r="P90" s="209">
        <f t="shared" si="130"/>
        <v>0</v>
      </c>
      <c r="Q90" s="198">
        <v>0</v>
      </c>
      <c r="R90" s="198">
        <v>0</v>
      </c>
      <c r="S90" s="199">
        <f t="shared" si="131"/>
        <v>0</v>
      </c>
      <c r="T90" s="200">
        <f t="shared" si="150"/>
        <v>0</v>
      </c>
      <c r="U90" s="200" t="e">
        <f t="shared" si="150"/>
        <v>#REF!</v>
      </c>
      <c r="V90" s="201">
        <f t="shared" si="150"/>
        <v>0</v>
      </c>
      <c r="W90" s="243">
        <f t="shared" si="143"/>
        <v>0</v>
      </c>
      <c r="X90" s="202">
        <v>0</v>
      </c>
      <c r="Y90" s="202"/>
      <c r="Z90" s="203">
        <f t="shared" si="132"/>
        <v>0</v>
      </c>
      <c r="AA90" s="204">
        <f t="shared" si="151"/>
        <v>0</v>
      </c>
      <c r="AB90" s="204" t="e">
        <f t="shared" si="151"/>
        <v>#REF!</v>
      </c>
      <c r="AC90" s="205">
        <f t="shared" si="151"/>
        <v>0</v>
      </c>
      <c r="AD90" s="205">
        <f t="shared" si="144"/>
        <v>0</v>
      </c>
      <c r="AE90" s="206">
        <v>0</v>
      </c>
      <c r="AF90" s="206">
        <v>0</v>
      </c>
      <c r="AG90" s="207">
        <f t="shared" si="133"/>
        <v>0</v>
      </c>
      <c r="AH90" s="208">
        <f t="shared" si="152"/>
        <v>0</v>
      </c>
      <c r="AI90" s="208" t="e">
        <f t="shared" si="152"/>
        <v>#REF!</v>
      </c>
      <c r="AJ90" s="209">
        <f t="shared" si="152"/>
        <v>0</v>
      </c>
      <c r="AK90" s="209">
        <f t="shared" si="145"/>
        <v>0</v>
      </c>
      <c r="AL90" s="198">
        <v>0</v>
      </c>
      <c r="AM90" s="198">
        <v>0</v>
      </c>
      <c r="AN90" s="199">
        <f t="shared" si="134"/>
        <v>0</v>
      </c>
      <c r="AO90" s="200">
        <f t="shared" si="153"/>
        <v>0</v>
      </c>
      <c r="AP90" s="200" t="e">
        <f t="shared" si="153"/>
        <v>#REF!</v>
      </c>
      <c r="AQ90" s="201">
        <f t="shared" si="153"/>
        <v>0</v>
      </c>
      <c r="AR90" s="201">
        <f t="shared" si="146"/>
        <v>0</v>
      </c>
      <c r="AS90" s="202">
        <v>0</v>
      </c>
      <c r="AT90" s="202">
        <v>0</v>
      </c>
      <c r="AU90" s="203">
        <f t="shared" si="135"/>
        <v>0</v>
      </c>
      <c r="AV90" s="1202">
        <f t="shared" si="127"/>
        <v>0</v>
      </c>
      <c r="AW90" s="210">
        <f t="shared" si="136"/>
        <v>0</v>
      </c>
      <c r="AX90" s="196" t="str">
        <f t="shared" si="126"/>
        <v/>
      </c>
      <c r="BB90" s="98">
        <f t="shared" si="137"/>
        <v>0</v>
      </c>
      <c r="BC90" s="968">
        <f t="shared" si="128"/>
        <v>0</v>
      </c>
      <c r="BF90" s="112" t="e">
        <f t="shared" si="147"/>
        <v>#REF!</v>
      </c>
      <c r="BG90" s="117" t="e">
        <f t="shared" si="138"/>
        <v>#REF!</v>
      </c>
      <c r="BH90" s="112" t="e">
        <f t="shared" si="139"/>
        <v>#REF!</v>
      </c>
      <c r="BI90" s="117" t="e">
        <f t="shared" si="140"/>
        <v>#REF!</v>
      </c>
      <c r="BJ90" s="98" t="e">
        <f t="shared" si="148"/>
        <v>#REF!</v>
      </c>
    </row>
    <row r="91" spans="1:62" hidden="1" outlineLevel="1">
      <c r="A91" s="175">
        <v>5</v>
      </c>
      <c r="B91" s="195" t="s">
        <v>525</v>
      </c>
      <c r="C91" s="1203">
        <f t="shared" si="141"/>
        <v>1800</v>
      </c>
      <c r="D91" s="1204">
        <v>2.5</v>
      </c>
      <c r="E91" s="196">
        <f t="shared" si="142"/>
        <v>0</v>
      </c>
      <c r="F91" s="197">
        <v>0</v>
      </c>
      <c r="G91" s="179">
        <f>IF(Setup!$L$8="No",0,J91+Q91+X91+AE91)</f>
        <v>0</v>
      </c>
      <c r="H91" s="242"/>
      <c r="I91" s="179">
        <f>IF(Sources!$D$10&gt;0,J91+Q91+X91+AE91,IF(Sources!$D$11&gt;0,H91,0))</f>
        <v>0</v>
      </c>
      <c r="J91" s="206">
        <v>0</v>
      </c>
      <c r="K91" s="206">
        <v>0</v>
      </c>
      <c r="L91" s="207">
        <f t="shared" si="129"/>
        <v>0</v>
      </c>
      <c r="M91" s="208">
        <f t="shared" si="149"/>
        <v>0</v>
      </c>
      <c r="N91" s="208" t="e">
        <f t="shared" si="149"/>
        <v>#REF!</v>
      </c>
      <c r="O91" s="209">
        <f t="shared" si="149"/>
        <v>0</v>
      </c>
      <c r="P91" s="209">
        <f t="shared" si="130"/>
        <v>0</v>
      </c>
      <c r="Q91" s="198">
        <v>0</v>
      </c>
      <c r="R91" s="198">
        <v>0</v>
      </c>
      <c r="S91" s="199">
        <f t="shared" si="131"/>
        <v>0</v>
      </c>
      <c r="T91" s="200">
        <f t="shared" si="150"/>
        <v>0</v>
      </c>
      <c r="U91" s="200" t="e">
        <f t="shared" si="150"/>
        <v>#REF!</v>
      </c>
      <c r="V91" s="201">
        <f t="shared" si="150"/>
        <v>0</v>
      </c>
      <c r="W91" s="243">
        <f t="shared" si="143"/>
        <v>0</v>
      </c>
      <c r="X91" s="202">
        <v>0</v>
      </c>
      <c r="Y91" s="202"/>
      <c r="Z91" s="203">
        <f t="shared" si="132"/>
        <v>0</v>
      </c>
      <c r="AA91" s="204">
        <f t="shared" si="151"/>
        <v>0</v>
      </c>
      <c r="AB91" s="204" t="e">
        <f t="shared" si="151"/>
        <v>#REF!</v>
      </c>
      <c r="AC91" s="205">
        <f t="shared" si="151"/>
        <v>0</v>
      </c>
      <c r="AD91" s="205">
        <f t="shared" si="144"/>
        <v>0</v>
      </c>
      <c r="AE91" s="206">
        <v>0</v>
      </c>
      <c r="AF91" s="206">
        <v>0</v>
      </c>
      <c r="AG91" s="207">
        <f t="shared" si="133"/>
        <v>0</v>
      </c>
      <c r="AH91" s="208">
        <f t="shared" si="152"/>
        <v>0</v>
      </c>
      <c r="AI91" s="208" t="e">
        <f t="shared" si="152"/>
        <v>#REF!</v>
      </c>
      <c r="AJ91" s="209">
        <f t="shared" si="152"/>
        <v>0</v>
      </c>
      <c r="AK91" s="209">
        <f t="shared" si="145"/>
        <v>0</v>
      </c>
      <c r="AL91" s="198">
        <v>0</v>
      </c>
      <c r="AM91" s="198">
        <v>0</v>
      </c>
      <c r="AN91" s="199">
        <f t="shared" si="134"/>
        <v>0</v>
      </c>
      <c r="AO91" s="200">
        <f t="shared" si="153"/>
        <v>0</v>
      </c>
      <c r="AP91" s="200" t="e">
        <f t="shared" si="153"/>
        <v>#REF!</v>
      </c>
      <c r="AQ91" s="201">
        <f t="shared" si="153"/>
        <v>0</v>
      </c>
      <c r="AR91" s="201">
        <f t="shared" si="146"/>
        <v>0</v>
      </c>
      <c r="AS91" s="202">
        <v>0</v>
      </c>
      <c r="AT91" s="202">
        <v>0</v>
      </c>
      <c r="AU91" s="203">
        <f t="shared" si="135"/>
        <v>0</v>
      </c>
      <c r="AV91" s="1202">
        <f t="shared" si="127"/>
        <v>0</v>
      </c>
      <c r="AW91" s="210">
        <f t="shared" si="136"/>
        <v>0</v>
      </c>
      <c r="AX91" s="196" t="str">
        <f t="shared" si="126"/>
        <v/>
      </c>
      <c r="BB91" s="98">
        <f t="shared" si="137"/>
        <v>0</v>
      </c>
      <c r="BC91" s="968">
        <f t="shared" si="128"/>
        <v>0</v>
      </c>
      <c r="BF91" s="112" t="e">
        <f t="shared" si="147"/>
        <v>#REF!</v>
      </c>
      <c r="BG91" s="117" t="e">
        <f t="shared" si="138"/>
        <v>#REF!</v>
      </c>
      <c r="BH91" s="112" t="e">
        <f t="shared" si="139"/>
        <v>#REF!</v>
      </c>
      <c r="BI91" s="117" t="e">
        <f t="shared" si="140"/>
        <v>#REF!</v>
      </c>
      <c r="BJ91" s="98" t="e">
        <f t="shared" si="148"/>
        <v>#REF!</v>
      </c>
    </row>
    <row r="92" spans="1:62" hidden="1" outlineLevel="1">
      <c r="A92" s="175">
        <v>5</v>
      </c>
      <c r="B92" s="195" t="s">
        <v>526</v>
      </c>
      <c r="C92" s="1203">
        <f t="shared" si="141"/>
        <v>1800</v>
      </c>
      <c r="D92" s="1204">
        <v>2.5</v>
      </c>
      <c r="E92" s="196">
        <f t="shared" si="142"/>
        <v>0</v>
      </c>
      <c r="F92" s="197">
        <v>0</v>
      </c>
      <c r="G92" s="179">
        <f>IF(Setup!$L$8="No",0,J92+Q92+X92+AE92)</f>
        <v>0</v>
      </c>
      <c r="H92" s="242"/>
      <c r="I92" s="179">
        <f>IF(Sources!$D$10&gt;0,J92+Q92+X92+AE92,IF(Sources!$D$11&gt;0,H92,0))</f>
        <v>0</v>
      </c>
      <c r="J92" s="206">
        <v>0</v>
      </c>
      <c r="K92" s="206">
        <v>0</v>
      </c>
      <c r="L92" s="207">
        <f t="shared" si="129"/>
        <v>0</v>
      </c>
      <c r="M92" s="208">
        <f t="shared" si="149"/>
        <v>0</v>
      </c>
      <c r="N92" s="208" t="e">
        <f t="shared" si="149"/>
        <v>#REF!</v>
      </c>
      <c r="O92" s="209">
        <f t="shared" si="149"/>
        <v>0</v>
      </c>
      <c r="P92" s="209">
        <f t="shared" si="130"/>
        <v>0</v>
      </c>
      <c r="Q92" s="198">
        <v>0</v>
      </c>
      <c r="R92" s="198">
        <v>0</v>
      </c>
      <c r="S92" s="199">
        <f t="shared" si="131"/>
        <v>0</v>
      </c>
      <c r="T92" s="200">
        <f t="shared" si="150"/>
        <v>0</v>
      </c>
      <c r="U92" s="200" t="e">
        <f t="shared" si="150"/>
        <v>#REF!</v>
      </c>
      <c r="V92" s="201">
        <f t="shared" si="150"/>
        <v>0</v>
      </c>
      <c r="W92" s="243">
        <f t="shared" si="143"/>
        <v>0</v>
      </c>
      <c r="X92" s="202">
        <v>0</v>
      </c>
      <c r="Y92" s="202"/>
      <c r="Z92" s="203">
        <f t="shared" si="132"/>
        <v>0</v>
      </c>
      <c r="AA92" s="204">
        <f t="shared" si="151"/>
        <v>0</v>
      </c>
      <c r="AB92" s="204" t="e">
        <f t="shared" si="151"/>
        <v>#REF!</v>
      </c>
      <c r="AC92" s="205">
        <f t="shared" si="151"/>
        <v>0</v>
      </c>
      <c r="AD92" s="205">
        <f t="shared" si="144"/>
        <v>0</v>
      </c>
      <c r="AE92" s="206">
        <v>0</v>
      </c>
      <c r="AF92" s="206">
        <v>0</v>
      </c>
      <c r="AG92" s="207">
        <f t="shared" si="133"/>
        <v>0</v>
      </c>
      <c r="AH92" s="208">
        <f t="shared" si="152"/>
        <v>0</v>
      </c>
      <c r="AI92" s="208" t="e">
        <f t="shared" si="152"/>
        <v>#REF!</v>
      </c>
      <c r="AJ92" s="209">
        <f t="shared" si="152"/>
        <v>0</v>
      </c>
      <c r="AK92" s="209">
        <f t="shared" si="145"/>
        <v>0</v>
      </c>
      <c r="AL92" s="198">
        <v>0</v>
      </c>
      <c r="AM92" s="198">
        <v>0</v>
      </c>
      <c r="AN92" s="199">
        <f t="shared" si="134"/>
        <v>0</v>
      </c>
      <c r="AO92" s="200">
        <f t="shared" si="153"/>
        <v>0</v>
      </c>
      <c r="AP92" s="200" t="e">
        <f t="shared" si="153"/>
        <v>#REF!</v>
      </c>
      <c r="AQ92" s="201">
        <f t="shared" si="153"/>
        <v>0</v>
      </c>
      <c r="AR92" s="201">
        <f t="shared" si="146"/>
        <v>0</v>
      </c>
      <c r="AS92" s="202">
        <v>0</v>
      </c>
      <c r="AT92" s="202">
        <v>0</v>
      </c>
      <c r="AU92" s="203">
        <f t="shared" si="135"/>
        <v>0</v>
      </c>
      <c r="AV92" s="1202">
        <f t="shared" si="127"/>
        <v>0</v>
      </c>
      <c r="AW92" s="210">
        <f t="shared" si="136"/>
        <v>0</v>
      </c>
      <c r="AX92" s="196" t="str">
        <f t="shared" si="126"/>
        <v/>
      </c>
      <c r="BB92" s="98">
        <f t="shared" si="137"/>
        <v>0</v>
      </c>
      <c r="BC92" s="968">
        <f t="shared" si="128"/>
        <v>0</v>
      </c>
      <c r="BF92" s="112" t="e">
        <f t="shared" si="147"/>
        <v>#REF!</v>
      </c>
      <c r="BG92" s="117" t="e">
        <f t="shared" si="138"/>
        <v>#REF!</v>
      </c>
      <c r="BH92" s="112" t="e">
        <f t="shared" si="139"/>
        <v>#REF!</v>
      </c>
      <c r="BI92" s="117" t="e">
        <f t="shared" si="140"/>
        <v>#REF!</v>
      </c>
      <c r="BJ92" s="98" t="e">
        <f t="shared" si="148"/>
        <v>#REF!</v>
      </c>
    </row>
    <row r="93" spans="1:62" s="219" customFormat="1" ht="13.5" collapsed="1" thickBot="1">
      <c r="A93" s="1212" t="s">
        <v>527</v>
      </c>
      <c r="B93" s="1213"/>
      <c r="C93" s="1213">
        <f>C80*AV80+AV81*C81+AV82*C82+AV83*C83+AV84*C84+AV85*C85+AV86*C86+AV87*C87+AV88*C88+AV89*C89+AV90*C90+AV91*C91+AV92*C92</f>
        <v>0</v>
      </c>
      <c r="D93" s="1213"/>
      <c r="E93" s="244"/>
      <c r="F93" s="1213">
        <f>SUM(F80:F92)</f>
        <v>0</v>
      </c>
      <c r="G93" s="1213">
        <f>SUM(G80:G92)</f>
        <v>0</v>
      </c>
      <c r="H93" s="1213">
        <f>SUM(H80:H92)</f>
        <v>0</v>
      </c>
      <c r="I93" s="1213">
        <f>SUM(I80:I92)</f>
        <v>0</v>
      </c>
      <c r="J93" s="245">
        <f>SUM(J80:J92)</f>
        <v>0</v>
      </c>
      <c r="K93" s="245">
        <f>K80*J80+K81*J81+K87*J87+K88*J88+K89*J89+K90*J90+K91*J91+K92*J92+K82*J82+K83*J83+K84*J84+K85*J85+K86*J86</f>
        <v>0</v>
      </c>
      <c r="L93" s="245"/>
      <c r="M93" s="246"/>
      <c r="N93" s="246"/>
      <c r="O93" s="246"/>
      <c r="P93" s="246"/>
      <c r="Q93" s="247">
        <f>SUM(Q80:Q92)</f>
        <v>0</v>
      </c>
      <c r="R93" s="247">
        <f>R80*Q80+R81*Q81+R87*Q87+R88*Q88+R89*Q89+R90*Q90+R91*Q91+R92*Q92+R82*Q82+R83*Q83+R84*Q84+R85*Q85+R86*Q86</f>
        <v>0</v>
      </c>
      <c r="S93" s="247"/>
      <c r="T93" s="248"/>
      <c r="U93" s="248"/>
      <c r="V93" s="248"/>
      <c r="W93" s="248"/>
      <c r="X93" s="249">
        <f>SUM(X80:X92)</f>
        <v>0</v>
      </c>
      <c r="Y93" s="249">
        <f>Y80*X80+Y81*X81+Y87*X87+Y88*X88+Y89*X89+Y90*X90+Y91*X91+Y92*X92+Y82*X82+Y83*X83+Y84*X84+Y85*X85+Y86*X86</f>
        <v>0</v>
      </c>
      <c r="Z93" s="249"/>
      <c r="AA93" s="250"/>
      <c r="AB93" s="250"/>
      <c r="AC93" s="250"/>
      <c r="AD93" s="250"/>
      <c r="AE93" s="245">
        <f>SUM(AE80:AE92)</f>
        <v>0</v>
      </c>
      <c r="AF93" s="245">
        <f>AF80*AE80+AF81*AE81+AF87*AE87+AF88*AE88+AF89*AE89+AF90*AE90+AF91*AE91+AF92*AE92+AF82*AE82+AF83*AE83+AF84*AE84+AF85*AE85+AF86*AE86</f>
        <v>0</v>
      </c>
      <c r="AG93" s="245"/>
      <c r="AH93" s="246"/>
      <c r="AI93" s="246"/>
      <c r="AJ93" s="246"/>
      <c r="AK93" s="246"/>
      <c r="AL93" s="247">
        <f>SUM(AL80:AL92)</f>
        <v>0</v>
      </c>
      <c r="AM93" s="247">
        <f>AM80*AL80+AM81*AL81+AM87*AL87+AM88*AL88+AM89*AL89+AM90*AL90+AM91*AL91+AM92*AL92+AM82*AL82+AM83*AL83+AM84*AL84+AM85*AL85+AM86*AL86</f>
        <v>0</v>
      </c>
      <c r="AN93" s="247"/>
      <c r="AO93" s="248"/>
      <c r="AP93" s="248"/>
      <c r="AQ93" s="248"/>
      <c r="AR93" s="248"/>
      <c r="AS93" s="249">
        <f>SUM(AS80:AS92)</f>
        <v>0</v>
      </c>
      <c r="AT93" s="249">
        <f>AT80*AS80+AT81*AS81+AT87*AS87+AT88*AS88+AT89*AS89+AT90*AS90+AT91*AS91+AT92*AS92+AT82*AS82+AT83*AS83+AT84*AS84+AT85*AS85+AT86*AS86</f>
        <v>0</v>
      </c>
      <c r="AU93" s="249"/>
      <c r="AV93" s="1202">
        <f t="shared" si="127"/>
        <v>0</v>
      </c>
      <c r="AW93" s="251">
        <f>AF93+AT93+Y93+R93+K93+AM93</f>
        <v>0</v>
      </c>
      <c r="AX93" s="1213" t="str">
        <f t="shared" si="126"/>
        <v/>
      </c>
      <c r="AY93" s="218"/>
      <c r="AZ93" s="218"/>
      <c r="BA93" s="218"/>
      <c r="BB93" s="1207">
        <f>SUM(BB80:BB92)</f>
        <v>0</v>
      </c>
      <c r="BC93" s="218">
        <f>SUM(BC80:BC92)</f>
        <v>0</v>
      </c>
      <c r="BD93" s="218"/>
      <c r="BE93" s="218"/>
      <c r="BF93" s="220"/>
      <c r="BG93" s="221"/>
      <c r="BH93" s="220"/>
      <c r="BI93" s="221"/>
      <c r="BJ93" s="1207"/>
    </row>
    <row r="94" spans="1:62" s="219" customFormat="1" ht="18.75" customHeight="1" thickTop="1">
      <c r="A94" s="1214" t="s">
        <v>528</v>
      </c>
      <c r="B94" s="1215"/>
      <c r="C94" s="1215">
        <f>C23+C37+C51+C65+C79+C93</f>
        <v>0</v>
      </c>
      <c r="D94" s="1215"/>
      <c r="E94" s="1215"/>
      <c r="F94" s="1215">
        <f t="shared" ref="F94:K94" si="154">F23+F37+F51+F65+F79+F93</f>
        <v>0</v>
      </c>
      <c r="G94" s="1215">
        <f t="shared" si="154"/>
        <v>0</v>
      </c>
      <c r="H94" s="1215">
        <f t="shared" si="154"/>
        <v>0</v>
      </c>
      <c r="I94" s="1215">
        <f t="shared" si="154"/>
        <v>0</v>
      </c>
      <c r="J94" s="1215">
        <f t="shared" si="154"/>
        <v>0</v>
      </c>
      <c r="K94" s="1215">
        <f t="shared" si="154"/>
        <v>0</v>
      </c>
      <c r="L94" s="252"/>
      <c r="M94" s="252"/>
      <c r="N94" s="252"/>
      <c r="O94" s="253"/>
      <c r="P94" s="253"/>
      <c r="Q94" s="1216">
        <f>Q23+Q37+Q51+Q65+Q79+Q93</f>
        <v>0</v>
      </c>
      <c r="R94" s="1215">
        <f>R23+R37+R51+R65+R79+R93</f>
        <v>0</v>
      </c>
      <c r="S94" s="254"/>
      <c r="T94" s="254"/>
      <c r="U94" s="254"/>
      <c r="V94" s="255"/>
      <c r="W94" s="255"/>
      <c r="X94" s="256">
        <f>X23+X37+X51+X65+X79+X93</f>
        <v>0</v>
      </c>
      <c r="Y94" s="257">
        <f>Y23+Y37+Y51+Y65+Y79+Y93</f>
        <v>0</v>
      </c>
      <c r="Z94" s="257"/>
      <c r="AA94" s="257"/>
      <c r="AB94" s="257"/>
      <c r="AC94" s="258"/>
      <c r="AD94" s="258"/>
      <c r="AE94" s="259">
        <f>AE23+AE37+AE51+AE65+AE79+AE93</f>
        <v>0</v>
      </c>
      <c r="AF94" s="260">
        <f>AF23+AF37+AF51+AF65+AF79+AF93</f>
        <v>0</v>
      </c>
      <c r="AG94" s="260"/>
      <c r="AH94" s="260"/>
      <c r="AI94" s="260"/>
      <c r="AJ94" s="261"/>
      <c r="AK94" s="261"/>
      <c r="AL94" s="1217">
        <f>AL23+AL37+AL51+AL65+AL79+AL93</f>
        <v>0</v>
      </c>
      <c r="AM94" s="254">
        <f>AM23+AM37+AM51+AM65+AM79+AM93</f>
        <v>0</v>
      </c>
      <c r="AN94" s="254"/>
      <c r="AO94" s="254"/>
      <c r="AP94" s="254"/>
      <c r="AQ94" s="255"/>
      <c r="AR94" s="255"/>
      <c r="AS94" s="256">
        <f>AS23+AS37+AS51+AS65+AS79+AS93</f>
        <v>0</v>
      </c>
      <c r="AT94" s="257">
        <f>AT23+AT37+AT51+AT65+AT79+AT93</f>
        <v>0</v>
      </c>
      <c r="AU94" s="257"/>
      <c r="AV94" s="1216">
        <f>AV23+AV37+AV51+AV65+AV79+AV93</f>
        <v>0</v>
      </c>
      <c r="AW94" s="1215">
        <f>AW23+AW37+AW51+AW65+AW79+AW93</f>
        <v>0</v>
      </c>
      <c r="AX94" s="1218" t="str">
        <f>IF(AV94=0,"",AW94/AV94)</f>
        <v/>
      </c>
      <c r="AY94" s="1207"/>
      <c r="AZ94" s="1207"/>
      <c r="BA94" s="1207"/>
      <c r="BB94" s="1207">
        <f>BB23+BB37+BB51+BB65+BB79+BB93</f>
        <v>0</v>
      </c>
      <c r="BC94" s="1207">
        <f>(BC93+BC79+BC65+BC51+BC37+BC23)</f>
        <v>0</v>
      </c>
      <c r="BD94" s="1207"/>
      <c r="BE94" s="1207"/>
      <c r="BF94" s="262"/>
      <c r="BG94" s="263"/>
      <c r="BH94" s="262"/>
      <c r="BI94" s="1207"/>
      <c r="BJ94" s="1207"/>
    </row>
    <row r="95" spans="1:62" s="265" customFormat="1" ht="12.2" customHeight="1">
      <c r="A95" s="264" t="s">
        <v>529</v>
      </c>
      <c r="C95" s="812"/>
      <c r="D95" s="813"/>
      <c r="E95" s="814"/>
      <c r="F95" s="814"/>
      <c r="G95" s="814"/>
      <c r="H95" s="814"/>
      <c r="I95" s="814"/>
      <c r="J95" s="812"/>
      <c r="K95" s="812">
        <f>K94*-Setup!$R$11</f>
        <v>0</v>
      </c>
      <c r="L95" s="815"/>
      <c r="M95" s="816"/>
      <c r="N95" s="816"/>
      <c r="O95" s="817"/>
      <c r="P95" s="818"/>
      <c r="Q95" s="819"/>
      <c r="R95" s="812">
        <f>R94*-Setup!$R$11</f>
        <v>0</v>
      </c>
      <c r="S95" s="820"/>
      <c r="T95" s="821"/>
      <c r="U95" s="821"/>
      <c r="V95" s="822"/>
      <c r="W95" s="823"/>
      <c r="X95" s="824"/>
      <c r="Y95" s="825">
        <f>Y94*-Setup!$R$11</f>
        <v>0</v>
      </c>
      <c r="Z95" s="826"/>
      <c r="AA95" s="827"/>
      <c r="AB95" s="827"/>
      <c r="AC95" s="1219"/>
      <c r="AD95" s="1220"/>
      <c r="AE95" s="828"/>
      <c r="AF95" s="829">
        <f>AF94*-Setup!$R$11</f>
        <v>0</v>
      </c>
      <c r="AG95" s="830"/>
      <c r="AH95" s="831"/>
      <c r="AI95" s="831"/>
      <c r="AJ95" s="1221"/>
      <c r="AK95" s="832"/>
      <c r="AL95" s="1222"/>
      <c r="AM95" s="1223">
        <f>AM94*-Setup!$R$11</f>
        <v>0</v>
      </c>
      <c r="AN95" s="820"/>
      <c r="AO95" s="821"/>
      <c r="AP95" s="821"/>
      <c r="AQ95" s="822"/>
      <c r="AR95" s="1224"/>
      <c r="AS95" s="824"/>
      <c r="AT95" s="825">
        <f>AT94*-Setup!$R$11</f>
        <v>0</v>
      </c>
      <c r="AU95" s="826"/>
      <c r="AV95" s="833"/>
      <c r="AW95" s="812">
        <f>K95+R95+Y95+AF95+AT95+AM95</f>
        <v>0</v>
      </c>
      <c r="AX95" s="834"/>
      <c r="BJ95" s="267"/>
    </row>
    <row r="96" spans="1:62" s="265" customFormat="1" ht="3.2" customHeight="1">
      <c r="A96" s="264"/>
      <c r="C96" s="814"/>
      <c r="D96" s="813"/>
      <c r="E96" s="814"/>
      <c r="F96" s="814"/>
      <c r="G96" s="814"/>
      <c r="H96" s="814"/>
      <c r="I96" s="814"/>
      <c r="J96" s="814"/>
      <c r="K96" s="812"/>
      <c r="L96" s="815"/>
      <c r="M96" s="814"/>
      <c r="N96" s="816"/>
      <c r="O96" s="817"/>
      <c r="P96" s="818"/>
      <c r="Q96" s="819"/>
      <c r="R96" s="812"/>
      <c r="S96" s="820"/>
      <c r="T96" s="821"/>
      <c r="U96" s="821"/>
      <c r="V96" s="822"/>
      <c r="W96" s="823"/>
      <c r="X96" s="824"/>
      <c r="Y96" s="825"/>
      <c r="Z96" s="826"/>
      <c r="AA96" s="827"/>
      <c r="AB96" s="827"/>
      <c r="AC96" s="1219"/>
      <c r="AD96" s="1220"/>
      <c r="AE96" s="828"/>
      <c r="AF96" s="829"/>
      <c r="AG96" s="830"/>
      <c r="AH96" s="831"/>
      <c r="AI96" s="831"/>
      <c r="AJ96" s="1221"/>
      <c r="AK96" s="832"/>
      <c r="AL96" s="1222"/>
      <c r="AM96" s="1223"/>
      <c r="AN96" s="820"/>
      <c r="AO96" s="821"/>
      <c r="AP96" s="821"/>
      <c r="AQ96" s="822"/>
      <c r="AR96" s="1224"/>
      <c r="AS96" s="824"/>
      <c r="AT96" s="825"/>
      <c r="AU96" s="826"/>
      <c r="AV96" s="833"/>
      <c r="AW96" s="812"/>
      <c r="AX96" s="834"/>
      <c r="BJ96" s="267"/>
    </row>
    <row r="97" spans="1:83" s="265" customFormat="1" ht="13.5" thickBot="1">
      <c r="A97" s="268" t="s">
        <v>530</v>
      </c>
      <c r="B97" s="269"/>
      <c r="C97" s="835"/>
      <c r="D97" s="836"/>
      <c r="E97" s="837"/>
      <c r="F97" s="837"/>
      <c r="G97" s="837"/>
      <c r="H97" s="837"/>
      <c r="I97" s="837"/>
      <c r="J97" s="835"/>
      <c r="K97" s="835">
        <f>SUM(K94:K96)</f>
        <v>0</v>
      </c>
      <c r="L97" s="838"/>
      <c r="M97" s="839"/>
      <c r="N97" s="839"/>
      <c r="O97" s="840"/>
      <c r="P97" s="841"/>
      <c r="Q97" s="842"/>
      <c r="R97" s="835">
        <f>SUM(R94:R96)</f>
        <v>0</v>
      </c>
      <c r="S97" s="843"/>
      <c r="T97" s="844"/>
      <c r="U97" s="844"/>
      <c r="V97" s="845"/>
      <c r="W97" s="846"/>
      <c r="X97" s="847"/>
      <c r="Y97" s="848">
        <f>SUM(Y94:Y96)</f>
        <v>0</v>
      </c>
      <c r="Z97" s="849"/>
      <c r="AA97" s="850"/>
      <c r="AB97" s="850"/>
      <c r="AC97" s="1225"/>
      <c r="AD97" s="1226"/>
      <c r="AE97" s="851"/>
      <c r="AF97" s="852">
        <f>SUM(AF94:AF96)</f>
        <v>0</v>
      </c>
      <c r="AG97" s="853"/>
      <c r="AH97" s="854"/>
      <c r="AI97" s="854"/>
      <c r="AJ97" s="1227"/>
      <c r="AK97" s="855"/>
      <c r="AL97" s="1228"/>
      <c r="AM97" s="1229">
        <f>SUM(AM94:AM96)</f>
        <v>0</v>
      </c>
      <c r="AN97" s="843"/>
      <c r="AO97" s="844"/>
      <c r="AP97" s="844"/>
      <c r="AQ97" s="845"/>
      <c r="AR97" s="1230"/>
      <c r="AS97" s="847"/>
      <c r="AT97" s="848">
        <f>SUM(AT94:AT96)</f>
        <v>0</v>
      </c>
      <c r="AU97" s="849"/>
      <c r="AV97" s="856"/>
      <c r="AW97" s="812">
        <f>SUM(AW94:AW96)</f>
        <v>0</v>
      </c>
      <c r="AX97" s="857"/>
      <c r="BJ97" s="267"/>
    </row>
    <row r="98" spans="1:83" s="272" customFormat="1" ht="14.25" thickTop="1" thickBot="1">
      <c r="A98" s="270" t="s">
        <v>531</v>
      </c>
      <c r="B98" s="271"/>
      <c r="C98" s="805"/>
      <c r="D98" s="858"/>
      <c r="E98" s="803"/>
      <c r="F98" s="803"/>
      <c r="G98" s="803"/>
      <c r="H98" s="804"/>
      <c r="I98" s="804"/>
      <c r="J98" s="805"/>
      <c r="K98" s="805">
        <f>K97*12</f>
        <v>0</v>
      </c>
      <c r="L98" s="803"/>
      <c r="M98" s="806"/>
      <c r="N98" s="806"/>
      <c r="O98" s="807"/>
      <c r="P98" s="808"/>
      <c r="Q98" s="809"/>
      <c r="R98" s="805">
        <f>R97*12</f>
        <v>0</v>
      </c>
      <c r="S98" s="803"/>
      <c r="T98" s="806"/>
      <c r="U98" s="806"/>
      <c r="V98" s="807"/>
      <c r="W98" s="808"/>
      <c r="X98" s="809"/>
      <c r="Y98" s="805">
        <f>Y97*12</f>
        <v>0</v>
      </c>
      <c r="Z98" s="803"/>
      <c r="AA98" s="806"/>
      <c r="AB98" s="806"/>
      <c r="AC98" s="807"/>
      <c r="AD98" s="808"/>
      <c r="AE98" s="809"/>
      <c r="AF98" s="805">
        <f>AF97*12</f>
        <v>0</v>
      </c>
      <c r="AG98" s="803"/>
      <c r="AH98" s="806"/>
      <c r="AI98" s="806"/>
      <c r="AJ98" s="807"/>
      <c r="AK98" s="808"/>
      <c r="AL98" s="809"/>
      <c r="AM98" s="805">
        <f>AM97*12</f>
        <v>0</v>
      </c>
      <c r="AN98" s="803"/>
      <c r="AO98" s="806"/>
      <c r="AP98" s="806"/>
      <c r="AQ98" s="807"/>
      <c r="AR98" s="808"/>
      <c r="AS98" s="809"/>
      <c r="AT98" s="805">
        <f>AT97*12</f>
        <v>0</v>
      </c>
      <c r="AU98" s="803"/>
      <c r="AV98" s="809"/>
      <c r="AW98" s="810">
        <f>K98+R98+Y98+AF98+AT98+AM98</f>
        <v>0</v>
      </c>
      <c r="AX98" s="811"/>
      <c r="BJ98" s="273"/>
    </row>
    <row r="99" spans="1:83">
      <c r="F99" s="95"/>
      <c r="G99" s="95"/>
      <c r="H99" s="96"/>
      <c r="I99" s="96"/>
      <c r="J99" s="727"/>
      <c r="K99" s="727"/>
      <c r="L99" s="727"/>
      <c r="M99" s="728"/>
      <c r="N99" s="728"/>
      <c r="O99" s="729"/>
      <c r="P99" s="730"/>
      <c r="Q99" s="731"/>
      <c r="R99" s="731"/>
      <c r="S99" s="731"/>
      <c r="T99" s="732"/>
      <c r="U99" s="732"/>
      <c r="V99" s="733"/>
      <c r="W99" s="734"/>
      <c r="X99" s="735"/>
      <c r="Y99" s="735"/>
      <c r="Z99" s="735"/>
      <c r="AA99" s="736"/>
      <c r="AB99" s="736"/>
      <c r="AC99" s="737"/>
      <c r="AD99" s="738"/>
      <c r="AE99" s="739"/>
      <c r="AF99" s="739"/>
      <c r="AG99" s="739"/>
      <c r="AH99" s="740"/>
      <c r="AI99" s="740"/>
      <c r="AJ99" s="741"/>
      <c r="AK99" s="742"/>
      <c r="AL99" s="731"/>
      <c r="AM99" s="731"/>
      <c r="AN99" s="731"/>
      <c r="AO99" s="732"/>
      <c r="AP99" s="732"/>
      <c r="AQ99" s="733"/>
      <c r="AR99" s="743"/>
      <c r="AS99" s="735"/>
      <c r="AT99" s="735"/>
      <c r="AU99" s="735"/>
      <c r="AV99" s="1231"/>
      <c r="AW99" s="68"/>
      <c r="AX99" s="68"/>
      <c r="BB99" s="96"/>
      <c r="BH99" s="96"/>
      <c r="BJ99" s="98"/>
    </row>
    <row r="100" spans="1:83" s="275" customFormat="1">
      <c r="A100" s="1231" t="s">
        <v>532</v>
      </c>
      <c r="B100" s="1232"/>
      <c r="C100" s="1232"/>
      <c r="D100" s="1233"/>
      <c r="E100" s="1232"/>
      <c r="F100" s="1232"/>
      <c r="G100" s="1232"/>
      <c r="H100" s="1234"/>
      <c r="I100" s="1235"/>
      <c r="J100" s="1236"/>
      <c r="K100" s="1236"/>
      <c r="L100" s="1237"/>
      <c r="M100" s="1238"/>
      <c r="N100" s="1238"/>
      <c r="O100" s="1239"/>
      <c r="P100" s="1231"/>
      <c r="Q100" s="1236"/>
      <c r="R100" s="1236"/>
      <c r="S100" s="1237"/>
      <c r="T100" s="1238"/>
      <c r="U100" s="1238"/>
      <c r="V100" s="1239"/>
      <c r="W100" s="1231"/>
      <c r="X100" s="735"/>
      <c r="Y100" s="735"/>
      <c r="Z100" s="744"/>
      <c r="AA100" s="736"/>
      <c r="AB100" s="736"/>
      <c r="AC100" s="737"/>
      <c r="AD100" s="745"/>
      <c r="AE100" s="739"/>
      <c r="AF100" s="739"/>
      <c r="AG100" s="742"/>
      <c r="AH100" s="740"/>
      <c r="AI100" s="740"/>
      <c r="AJ100" s="741"/>
      <c r="AK100" s="739"/>
      <c r="AL100" s="731"/>
      <c r="AM100" s="731"/>
      <c r="AN100" s="743"/>
      <c r="AO100" s="732"/>
      <c r="AP100" s="732"/>
      <c r="AQ100" s="733"/>
      <c r="AR100" s="731"/>
      <c r="AS100" s="735"/>
      <c r="AT100" s="735"/>
      <c r="AU100" s="735"/>
      <c r="AV100" s="1231"/>
      <c r="AW100" s="1236"/>
      <c r="AX100" s="1236"/>
      <c r="AY100" s="1234"/>
      <c r="AZ100" s="1234"/>
      <c r="BA100" s="1234"/>
      <c r="BB100" s="1234"/>
      <c r="BC100" s="1234"/>
      <c r="BD100" s="1234"/>
      <c r="BE100" s="1234"/>
      <c r="BF100" s="1234"/>
      <c r="BG100" s="1234"/>
      <c r="BH100" s="1234"/>
      <c r="BI100" s="1240"/>
      <c r="BJ100" s="1234"/>
      <c r="BK100" s="1234"/>
      <c r="BL100" s="1234"/>
      <c r="BM100" s="1234"/>
      <c r="BN100" s="1234"/>
      <c r="BO100" s="1234"/>
      <c r="BP100" s="1234"/>
      <c r="BQ100" s="1234"/>
      <c r="BR100" s="1234"/>
      <c r="BS100" s="1234"/>
      <c r="BT100" s="1234"/>
      <c r="BU100" s="1234"/>
      <c r="BV100" s="1234"/>
      <c r="BW100" s="1234"/>
      <c r="BX100" s="1234"/>
      <c r="BY100" s="1234"/>
      <c r="BZ100" s="1234"/>
      <c r="CA100" s="1234"/>
      <c r="CB100" s="1234"/>
      <c r="CC100" s="1234"/>
      <c r="CD100" s="1234"/>
      <c r="CE100" s="1234"/>
    </row>
    <row r="101" spans="1:83" s="133" customFormat="1" ht="38.25">
      <c r="A101" s="1241" t="s">
        <v>533</v>
      </c>
      <c r="B101" s="1242"/>
      <c r="C101" s="1243" t="s">
        <v>424</v>
      </c>
      <c r="D101" s="1244" t="s">
        <v>534</v>
      </c>
      <c r="E101" s="1243" t="s">
        <v>535</v>
      </c>
      <c r="F101" s="1243" t="s">
        <v>536</v>
      </c>
      <c r="G101" s="1243" t="s">
        <v>537</v>
      </c>
      <c r="H101" s="1243" t="s">
        <v>538</v>
      </c>
      <c r="I101" s="1245" t="str">
        <f>IF(Sources!$D$56&lt;1,"","Comments")</f>
        <v/>
      </c>
      <c r="J101" s="1246" t="str">
        <f>IF(I101="","Comments","")</f>
        <v>Comments</v>
      </c>
      <c r="K101" s="1247"/>
      <c r="L101" s="1247"/>
      <c r="M101" s="1248"/>
      <c r="N101" s="1248"/>
      <c r="O101" s="1249"/>
      <c r="P101" s="1246"/>
      <c r="Q101" s="1246" t="str">
        <f>IF(I101="",IF(Setup!R16="No","Comments",""),"")</f>
        <v>Comments</v>
      </c>
      <c r="R101" s="1246"/>
      <c r="S101" s="1246"/>
      <c r="T101" s="1249"/>
      <c r="U101" s="1249"/>
      <c r="V101" s="1249"/>
      <c r="W101" s="1250"/>
      <c r="X101" s="746" t="e">
        <f>IF(I101="",IF(Setup!R16="Yes","",IF(Setup!#REF!="Yes","","Comments")),"")</f>
        <v>#REF!</v>
      </c>
      <c r="Y101" s="747"/>
      <c r="Z101" s="747"/>
      <c r="AA101" s="748"/>
      <c r="AB101" s="748"/>
      <c r="AC101" s="749"/>
      <c r="AD101" s="750"/>
      <c r="AE101" s="751"/>
      <c r="AF101" s="751"/>
      <c r="AG101" s="751"/>
      <c r="AH101" s="752"/>
      <c r="AI101" s="752"/>
      <c r="AJ101" s="753"/>
      <c r="AK101" s="754"/>
      <c r="AL101" s="1251"/>
      <c r="AM101" s="1251"/>
      <c r="AN101" s="1251"/>
      <c r="AO101" s="1252"/>
      <c r="AP101" s="1252"/>
      <c r="AQ101" s="1253"/>
      <c r="AR101" s="1254"/>
      <c r="AS101" s="746"/>
      <c r="AT101" s="746"/>
      <c r="AU101" s="746"/>
      <c r="AV101" s="1246"/>
      <c r="AW101" s="1246"/>
      <c r="AX101" s="1255"/>
      <c r="AY101" s="1188"/>
      <c r="AZ101" s="1188"/>
      <c r="BA101" s="1188"/>
      <c r="BB101" s="1256"/>
      <c r="BC101" s="1188"/>
      <c r="BD101" s="1188"/>
      <c r="BE101" s="1188"/>
      <c r="BF101" s="1188"/>
      <c r="BG101" s="1188"/>
      <c r="BH101" s="1257"/>
      <c r="BI101" s="1188"/>
      <c r="BJ101" s="1188"/>
      <c r="BK101" s="1188"/>
      <c r="BL101" s="1188"/>
      <c r="BM101" s="1188"/>
      <c r="BN101" s="1188"/>
      <c r="BO101" s="1188"/>
      <c r="BP101" s="1188"/>
      <c r="BQ101" s="1188"/>
      <c r="BR101" s="1188"/>
      <c r="BS101" s="1188"/>
      <c r="BT101" s="1188"/>
      <c r="BU101" s="1188"/>
      <c r="BV101" s="1188"/>
      <c r="BW101" s="1188"/>
      <c r="BX101" s="1188"/>
      <c r="BY101" s="1188"/>
      <c r="BZ101" s="1188"/>
      <c r="CA101" s="1188"/>
      <c r="CB101" s="1188"/>
      <c r="CC101" s="1188"/>
      <c r="CD101" s="1188"/>
      <c r="CE101" s="1188"/>
    </row>
    <row r="102" spans="1:83" s="275" customFormat="1">
      <c r="A102" s="1932" t="s">
        <v>539</v>
      </c>
      <c r="B102" s="1933"/>
      <c r="C102" s="1258">
        <v>0</v>
      </c>
      <c r="D102" s="1258">
        <v>0</v>
      </c>
      <c r="E102" s="1259" t="str">
        <f>IF(C102=0,"",D102/C102)</f>
        <v/>
      </c>
      <c r="F102" s="1260">
        <v>0.25</v>
      </c>
      <c r="G102" s="1261">
        <f t="shared" ref="G102:G112" si="155">ROUND(D102*(1-F102),0)</f>
        <v>0</v>
      </c>
      <c r="H102" s="1262">
        <f>Setup!$R$13</f>
        <v>0</v>
      </c>
      <c r="I102" s="1263"/>
      <c r="J102" s="1264"/>
      <c r="K102" s="1265"/>
      <c r="L102" s="1265"/>
      <c r="M102" s="1265"/>
      <c r="N102" s="1265"/>
      <c r="O102" s="1266"/>
      <c r="P102" s="1266"/>
      <c r="Q102" s="1267"/>
      <c r="R102" s="1267"/>
      <c r="S102" s="1267"/>
      <c r="T102" s="1267"/>
      <c r="U102" s="1267"/>
      <c r="V102" s="1266"/>
      <c r="W102" s="1268"/>
      <c r="X102" s="755"/>
      <c r="Y102" s="756"/>
      <c r="Z102" s="756"/>
      <c r="AA102" s="756"/>
      <c r="AB102" s="756"/>
      <c r="AC102" s="757"/>
      <c r="AD102" s="758"/>
      <c r="AE102" s="759"/>
      <c r="AF102" s="759"/>
      <c r="AG102" s="759"/>
      <c r="AH102" s="759"/>
      <c r="AI102" s="759"/>
      <c r="AJ102" s="760"/>
      <c r="AK102" s="761"/>
      <c r="AL102" s="762"/>
      <c r="AM102" s="762"/>
      <c r="AN102" s="762"/>
      <c r="AO102" s="762"/>
      <c r="AP102" s="762"/>
      <c r="AQ102" s="1269"/>
      <c r="AR102" s="763"/>
      <c r="AS102" s="755"/>
      <c r="AT102" s="755"/>
      <c r="AU102" s="755"/>
      <c r="AV102" s="1266"/>
      <c r="AW102" s="1267"/>
      <c r="AX102" s="1791"/>
      <c r="AY102" s="1270"/>
      <c r="AZ102" s="1270"/>
      <c r="BA102" s="1270"/>
      <c r="BB102" s="1271"/>
      <c r="BC102" s="1270"/>
      <c r="BD102" s="1270"/>
      <c r="BE102" s="1270"/>
      <c r="BF102" s="1270"/>
      <c r="BG102" s="1270"/>
      <c r="BH102" s="1272"/>
      <c r="BI102" s="1270"/>
      <c r="BJ102" s="1270"/>
      <c r="BK102" s="1270"/>
      <c r="BL102" s="1270"/>
      <c r="BM102" s="1270"/>
      <c r="BN102" s="1270"/>
      <c r="BO102" s="1270"/>
      <c r="BP102" s="1270"/>
      <c r="BQ102" s="1270"/>
      <c r="BR102" s="1270"/>
      <c r="BS102" s="1270"/>
      <c r="BT102" s="1270"/>
      <c r="BU102" s="1270"/>
      <c r="BV102" s="1270"/>
      <c r="BW102" s="1270"/>
      <c r="BX102" s="1270"/>
      <c r="BY102" s="1270"/>
      <c r="BZ102" s="1270"/>
      <c r="CA102" s="1270"/>
      <c r="CB102" s="1270"/>
      <c r="CC102" s="1270"/>
      <c r="CD102" s="1270"/>
      <c r="CE102" s="1270"/>
    </row>
    <row r="103" spans="1:83" s="275" customFormat="1">
      <c r="A103" s="1936" t="s">
        <v>540</v>
      </c>
      <c r="B103" s="1937"/>
      <c r="C103" s="1203">
        <v>0</v>
      </c>
      <c r="D103" s="1203">
        <v>0</v>
      </c>
      <c r="E103" s="1273" t="str">
        <f>IF(C103=0,"",D103/C103)</f>
        <v/>
      </c>
      <c r="F103" s="1274">
        <f t="shared" ref="F103:F112" si="156">F102</f>
        <v>0.25</v>
      </c>
      <c r="G103" s="1261">
        <f t="shared" si="155"/>
        <v>0</v>
      </c>
      <c r="H103" s="1262">
        <f>Setup!$R$13</f>
        <v>0</v>
      </c>
      <c r="I103" s="1263"/>
      <c r="J103" s="1275"/>
      <c r="K103" s="1265"/>
      <c r="L103" s="1265"/>
      <c r="M103" s="1265"/>
      <c r="N103" s="1265"/>
      <c r="O103" s="1266"/>
      <c r="P103" s="1266"/>
      <c r="Q103" s="1267"/>
      <c r="R103" s="1267"/>
      <c r="S103" s="1267"/>
      <c r="T103" s="1267"/>
      <c r="U103" s="1267"/>
      <c r="V103" s="1266"/>
      <c r="W103" s="1268"/>
      <c r="X103" s="755"/>
      <c r="Y103" s="756"/>
      <c r="Z103" s="756"/>
      <c r="AA103" s="756"/>
      <c r="AB103" s="756"/>
      <c r="AC103" s="757"/>
      <c r="AD103" s="758"/>
      <c r="AE103" s="759"/>
      <c r="AF103" s="759"/>
      <c r="AG103" s="759"/>
      <c r="AH103" s="759"/>
      <c r="AI103" s="759"/>
      <c r="AJ103" s="760"/>
      <c r="AK103" s="761"/>
      <c r="AL103" s="762"/>
      <c r="AM103" s="762"/>
      <c r="AN103" s="762"/>
      <c r="AO103" s="762"/>
      <c r="AP103" s="762"/>
      <c r="AQ103" s="1269"/>
      <c r="AR103" s="763"/>
      <c r="AS103" s="755"/>
      <c r="AT103" s="755"/>
      <c r="AU103" s="755"/>
      <c r="AV103" s="1266"/>
      <c r="AW103" s="1267"/>
      <c r="AX103" s="1791"/>
      <c r="AY103" s="1270"/>
      <c r="AZ103" s="1270"/>
      <c r="BA103" s="1270"/>
      <c r="BB103" s="1271"/>
      <c r="BC103" s="1270"/>
      <c r="BD103" s="1270"/>
      <c r="BE103" s="1270"/>
      <c r="BF103" s="1270"/>
      <c r="BG103" s="1270"/>
      <c r="BH103" s="1272"/>
      <c r="BI103" s="1270"/>
      <c r="BJ103" s="1270"/>
      <c r="BK103" s="1270"/>
      <c r="BL103" s="1270"/>
      <c r="BM103" s="1270"/>
      <c r="BN103" s="1270"/>
      <c r="BO103" s="1270"/>
      <c r="BP103" s="1270"/>
      <c r="BQ103" s="1270"/>
      <c r="BR103" s="1270"/>
      <c r="BS103" s="1270"/>
      <c r="BT103" s="1270"/>
      <c r="BU103" s="1270"/>
      <c r="BV103" s="1270"/>
      <c r="BW103" s="1270"/>
      <c r="BX103" s="1270"/>
      <c r="BY103" s="1270"/>
      <c r="BZ103" s="1270"/>
      <c r="CA103" s="1270"/>
      <c r="CB103" s="1270"/>
      <c r="CC103" s="1270"/>
      <c r="CD103" s="1270"/>
      <c r="CE103" s="1270"/>
    </row>
    <row r="104" spans="1:83" s="275" customFormat="1" hidden="1">
      <c r="A104" s="1932" t="s">
        <v>541</v>
      </c>
      <c r="B104" s="1933"/>
      <c r="C104" s="1258">
        <v>0</v>
      </c>
      <c r="D104" s="1258">
        <v>0</v>
      </c>
      <c r="E104" s="1259" t="str">
        <f t="shared" ref="E104:E113" si="157">IF(C104=0,"",D104/C104)</f>
        <v/>
      </c>
      <c r="F104" s="1274">
        <f t="shared" si="156"/>
        <v>0.25</v>
      </c>
      <c r="G104" s="1261">
        <f t="shared" si="155"/>
        <v>0</v>
      </c>
      <c r="H104" s="1262">
        <f>Setup!$R$13</f>
        <v>0</v>
      </c>
      <c r="I104" s="1276"/>
      <c r="J104" s="1267"/>
      <c r="K104" s="1265"/>
      <c r="L104" s="1265"/>
      <c r="M104" s="1265"/>
      <c r="N104" s="1265"/>
      <c r="O104" s="1266"/>
      <c r="P104" s="1266"/>
      <c r="Q104" s="1267"/>
      <c r="R104" s="1267"/>
      <c r="S104" s="1267"/>
      <c r="T104" s="1267"/>
      <c r="U104" s="1267"/>
      <c r="V104" s="1266"/>
      <c r="W104" s="1268"/>
      <c r="X104" s="755"/>
      <c r="Y104" s="756"/>
      <c r="Z104" s="756"/>
      <c r="AA104" s="756"/>
      <c r="AB104" s="756"/>
      <c r="AC104" s="757"/>
      <c r="AD104" s="758"/>
      <c r="AE104" s="759"/>
      <c r="AF104" s="759"/>
      <c r="AG104" s="759"/>
      <c r="AH104" s="759"/>
      <c r="AI104" s="759"/>
      <c r="AJ104" s="760"/>
      <c r="AK104" s="761"/>
      <c r="AL104" s="762"/>
      <c r="AM104" s="762"/>
      <c r="AN104" s="762"/>
      <c r="AO104" s="762"/>
      <c r="AP104" s="762"/>
      <c r="AQ104" s="1269"/>
      <c r="AR104" s="763"/>
      <c r="AS104" s="755"/>
      <c r="AT104" s="755"/>
      <c r="AU104" s="755"/>
      <c r="AV104" s="1266"/>
      <c r="AW104" s="1267"/>
      <c r="AX104" s="1791"/>
      <c r="AY104" s="1270"/>
      <c r="AZ104" s="1270"/>
      <c r="BA104" s="1270"/>
      <c r="BB104" s="1271"/>
      <c r="BC104" s="1270"/>
      <c r="BD104" s="1270"/>
      <c r="BE104" s="1270"/>
      <c r="BF104" s="1270"/>
      <c r="BG104" s="1270"/>
      <c r="BH104" s="1272"/>
      <c r="BI104" s="1270"/>
      <c r="BJ104" s="1270"/>
      <c r="BK104" s="1270"/>
      <c r="BL104" s="1270"/>
      <c r="BM104" s="1270"/>
      <c r="BN104" s="1270"/>
      <c r="BO104" s="1270"/>
      <c r="BP104" s="1270"/>
      <c r="BQ104" s="1270"/>
      <c r="BR104" s="1270"/>
      <c r="BS104" s="1270"/>
      <c r="BT104" s="1270"/>
      <c r="BU104" s="1270"/>
      <c r="BV104" s="1270"/>
      <c r="BW104" s="1270"/>
      <c r="BX104" s="1270"/>
      <c r="BY104" s="1270"/>
      <c r="BZ104" s="1270"/>
      <c r="CA104" s="1270"/>
      <c r="CB104" s="1270"/>
      <c r="CC104" s="1270"/>
      <c r="CD104" s="1270"/>
      <c r="CE104" s="1270"/>
    </row>
    <row r="105" spans="1:83" s="275" customFormat="1" hidden="1">
      <c r="A105" s="1936" t="s">
        <v>542</v>
      </c>
      <c r="B105" s="1937"/>
      <c r="C105" s="1203">
        <v>0</v>
      </c>
      <c r="D105" s="1203">
        <v>0</v>
      </c>
      <c r="E105" s="1273" t="str">
        <f t="shared" si="157"/>
        <v/>
      </c>
      <c r="F105" s="1274">
        <f t="shared" si="156"/>
        <v>0.25</v>
      </c>
      <c r="G105" s="1261">
        <f t="shared" si="155"/>
        <v>0</v>
      </c>
      <c r="H105" s="1262">
        <f>Setup!$R$13</f>
        <v>0</v>
      </c>
      <c r="I105" s="1276"/>
      <c r="J105" s="1267"/>
      <c r="K105" s="1265"/>
      <c r="L105" s="1265"/>
      <c r="M105" s="1265"/>
      <c r="N105" s="1265"/>
      <c r="O105" s="1266"/>
      <c r="P105" s="1266"/>
      <c r="Q105" s="1267"/>
      <c r="R105" s="1267"/>
      <c r="S105" s="1267"/>
      <c r="T105" s="1267"/>
      <c r="U105" s="1267"/>
      <c r="V105" s="1266"/>
      <c r="W105" s="1268"/>
      <c r="X105" s="755"/>
      <c r="Y105" s="756"/>
      <c r="Z105" s="756"/>
      <c r="AA105" s="756"/>
      <c r="AB105" s="756"/>
      <c r="AC105" s="757"/>
      <c r="AD105" s="758"/>
      <c r="AE105" s="759"/>
      <c r="AF105" s="759"/>
      <c r="AG105" s="759"/>
      <c r="AH105" s="759"/>
      <c r="AI105" s="759"/>
      <c r="AJ105" s="760"/>
      <c r="AK105" s="761"/>
      <c r="AL105" s="762"/>
      <c r="AM105" s="762"/>
      <c r="AN105" s="762"/>
      <c r="AO105" s="762"/>
      <c r="AP105" s="762"/>
      <c r="AQ105" s="1269"/>
      <c r="AR105" s="763"/>
      <c r="AS105" s="755"/>
      <c r="AT105" s="755"/>
      <c r="AU105" s="755"/>
      <c r="AV105" s="1266"/>
      <c r="AW105" s="1267"/>
      <c r="AX105" s="1791"/>
      <c r="AY105" s="1270"/>
      <c r="AZ105" s="1270"/>
      <c r="BA105" s="1270"/>
      <c r="BB105" s="1271"/>
      <c r="BC105" s="1270"/>
      <c r="BD105" s="1270"/>
      <c r="BE105" s="1270"/>
      <c r="BF105" s="1270"/>
      <c r="BG105" s="1270"/>
      <c r="BH105" s="1272"/>
      <c r="BI105" s="1270"/>
      <c r="BJ105" s="1270"/>
      <c r="BK105" s="1270"/>
      <c r="BL105" s="1270"/>
      <c r="BM105" s="1270"/>
      <c r="BN105" s="1270"/>
      <c r="BO105" s="1270"/>
      <c r="BP105" s="1270"/>
      <c r="BQ105" s="1270"/>
      <c r="BR105" s="1270"/>
      <c r="BS105" s="1270"/>
      <c r="BT105" s="1270"/>
      <c r="BU105" s="1270"/>
      <c r="BV105" s="1270"/>
      <c r="BW105" s="1270"/>
      <c r="BX105" s="1270"/>
      <c r="BY105" s="1270"/>
      <c r="BZ105" s="1270"/>
      <c r="CA105" s="1270"/>
      <c r="CB105" s="1270"/>
      <c r="CC105" s="1270"/>
      <c r="CD105" s="1270"/>
      <c r="CE105" s="1270"/>
    </row>
    <row r="106" spans="1:83" s="275" customFormat="1" hidden="1">
      <c r="A106" s="1932" t="s">
        <v>543</v>
      </c>
      <c r="B106" s="1933"/>
      <c r="C106" s="1258">
        <v>0</v>
      </c>
      <c r="D106" s="1258">
        <v>0</v>
      </c>
      <c r="E106" s="1259" t="str">
        <f t="shared" si="157"/>
        <v/>
      </c>
      <c r="F106" s="1274">
        <f t="shared" si="156"/>
        <v>0.25</v>
      </c>
      <c r="G106" s="1261">
        <f t="shared" si="155"/>
        <v>0</v>
      </c>
      <c r="H106" s="1262">
        <f>Setup!$R$13</f>
        <v>0</v>
      </c>
      <c r="I106" s="1276"/>
      <c r="J106" s="1267"/>
      <c r="K106" s="1265"/>
      <c r="L106" s="1265"/>
      <c r="M106" s="1265"/>
      <c r="N106" s="1265"/>
      <c r="O106" s="1266"/>
      <c r="P106" s="1266"/>
      <c r="Q106" s="1267"/>
      <c r="R106" s="1267"/>
      <c r="S106" s="1267"/>
      <c r="T106" s="1267"/>
      <c r="U106" s="1267"/>
      <c r="V106" s="1266"/>
      <c r="W106" s="1268"/>
      <c r="X106" s="755"/>
      <c r="Y106" s="756"/>
      <c r="Z106" s="756"/>
      <c r="AA106" s="756"/>
      <c r="AB106" s="756"/>
      <c r="AC106" s="757"/>
      <c r="AD106" s="758"/>
      <c r="AE106" s="759"/>
      <c r="AF106" s="759"/>
      <c r="AG106" s="759"/>
      <c r="AH106" s="759"/>
      <c r="AI106" s="759"/>
      <c r="AJ106" s="760"/>
      <c r="AK106" s="761"/>
      <c r="AL106" s="762"/>
      <c r="AM106" s="762"/>
      <c r="AN106" s="762"/>
      <c r="AO106" s="762"/>
      <c r="AP106" s="762"/>
      <c r="AQ106" s="1269"/>
      <c r="AR106" s="763"/>
      <c r="AS106" s="755"/>
      <c r="AT106" s="755"/>
      <c r="AU106" s="755"/>
      <c r="AV106" s="1266"/>
      <c r="AW106" s="1267"/>
      <c r="AX106" s="1791"/>
      <c r="AY106" s="1270"/>
      <c r="AZ106" s="1270"/>
      <c r="BA106" s="1270"/>
      <c r="BB106" s="1271"/>
      <c r="BC106" s="1270"/>
      <c r="BD106" s="1270"/>
      <c r="BE106" s="1270"/>
      <c r="BF106" s="1270"/>
      <c r="BG106" s="1270"/>
      <c r="BH106" s="1272"/>
      <c r="BI106" s="1270"/>
      <c r="BJ106" s="1270"/>
      <c r="BK106" s="1270"/>
      <c r="BL106" s="1270"/>
      <c r="BM106" s="1270"/>
      <c r="BN106" s="1270"/>
      <c r="BO106" s="1270"/>
      <c r="BP106" s="1270"/>
      <c r="BQ106" s="1270"/>
      <c r="BR106" s="1270"/>
      <c r="BS106" s="1270"/>
      <c r="BT106" s="1270"/>
      <c r="BU106" s="1270"/>
      <c r="BV106" s="1270"/>
      <c r="BW106" s="1270"/>
      <c r="BX106" s="1270"/>
      <c r="BY106" s="1270"/>
      <c r="BZ106" s="1270"/>
      <c r="CA106" s="1270"/>
      <c r="CB106" s="1270"/>
      <c r="CC106" s="1270"/>
      <c r="CD106" s="1270"/>
      <c r="CE106" s="1270"/>
    </row>
    <row r="107" spans="1:83" s="275" customFormat="1" hidden="1">
      <c r="A107" s="1936" t="s">
        <v>544</v>
      </c>
      <c r="B107" s="1937"/>
      <c r="C107" s="1203">
        <v>0</v>
      </c>
      <c r="D107" s="1203">
        <v>0</v>
      </c>
      <c r="E107" s="1273" t="str">
        <f t="shared" si="157"/>
        <v/>
      </c>
      <c r="F107" s="1274">
        <f t="shared" si="156"/>
        <v>0.25</v>
      </c>
      <c r="G107" s="1261">
        <f t="shared" si="155"/>
        <v>0</v>
      </c>
      <c r="H107" s="1262">
        <f>Setup!$R$13</f>
        <v>0</v>
      </c>
      <c r="I107" s="1276"/>
      <c r="J107" s="1267"/>
      <c r="K107" s="1265"/>
      <c r="L107" s="1265"/>
      <c r="M107" s="1265"/>
      <c r="N107" s="1265"/>
      <c r="O107" s="1266"/>
      <c r="P107" s="1266"/>
      <c r="Q107" s="1267"/>
      <c r="R107" s="1267"/>
      <c r="S107" s="1267"/>
      <c r="T107" s="1267"/>
      <c r="U107" s="1267"/>
      <c r="V107" s="1266"/>
      <c r="W107" s="1268"/>
      <c r="X107" s="755"/>
      <c r="Y107" s="756"/>
      <c r="Z107" s="756"/>
      <c r="AA107" s="756"/>
      <c r="AB107" s="756"/>
      <c r="AC107" s="757"/>
      <c r="AD107" s="758"/>
      <c r="AE107" s="759"/>
      <c r="AF107" s="759"/>
      <c r="AG107" s="759"/>
      <c r="AH107" s="759"/>
      <c r="AI107" s="759"/>
      <c r="AJ107" s="760"/>
      <c r="AK107" s="761"/>
      <c r="AL107" s="762"/>
      <c r="AM107" s="762"/>
      <c r="AN107" s="762"/>
      <c r="AO107" s="762"/>
      <c r="AP107" s="762"/>
      <c r="AQ107" s="1269"/>
      <c r="AR107" s="763"/>
      <c r="AS107" s="755"/>
      <c r="AT107" s="755"/>
      <c r="AU107" s="755"/>
      <c r="AV107" s="1266"/>
      <c r="AW107" s="1267"/>
      <c r="AX107" s="1791"/>
      <c r="AY107" s="1270"/>
      <c r="AZ107" s="1270"/>
      <c r="BA107" s="1270"/>
      <c r="BB107" s="1271"/>
      <c r="BC107" s="1270"/>
      <c r="BD107" s="1270"/>
      <c r="BE107" s="1270"/>
      <c r="BF107" s="1270"/>
      <c r="BG107" s="1270"/>
      <c r="BH107" s="1272"/>
      <c r="BI107" s="1270"/>
      <c r="BJ107" s="1270"/>
      <c r="BK107" s="1270"/>
      <c r="BL107" s="1270"/>
      <c r="BM107" s="1270"/>
      <c r="BN107" s="1270"/>
      <c r="BO107" s="1270"/>
      <c r="BP107" s="1270"/>
      <c r="BQ107" s="1270"/>
      <c r="BR107" s="1270"/>
      <c r="BS107" s="1270"/>
      <c r="BT107" s="1270"/>
      <c r="BU107" s="1270"/>
      <c r="BV107" s="1270"/>
      <c r="BW107" s="1270"/>
      <c r="BX107" s="1270"/>
      <c r="BY107" s="1270"/>
      <c r="BZ107" s="1270"/>
      <c r="CA107" s="1270"/>
      <c r="CB107" s="1270"/>
      <c r="CC107" s="1270"/>
      <c r="CD107" s="1270"/>
      <c r="CE107" s="1270"/>
    </row>
    <row r="108" spans="1:83" s="275" customFormat="1" hidden="1">
      <c r="A108" s="1932" t="s">
        <v>545</v>
      </c>
      <c r="B108" s="1933"/>
      <c r="C108" s="1258">
        <v>0</v>
      </c>
      <c r="D108" s="1258">
        <v>0</v>
      </c>
      <c r="E108" s="1259" t="str">
        <f t="shared" si="157"/>
        <v/>
      </c>
      <c r="F108" s="1274">
        <f t="shared" si="156"/>
        <v>0.25</v>
      </c>
      <c r="G108" s="1261">
        <f t="shared" si="155"/>
        <v>0</v>
      </c>
      <c r="H108" s="1262">
        <f>Setup!$R$13</f>
        <v>0</v>
      </c>
      <c r="I108" s="1276"/>
      <c r="J108" s="1267"/>
      <c r="K108" s="1265"/>
      <c r="L108" s="1265"/>
      <c r="M108" s="1265"/>
      <c r="N108" s="1265"/>
      <c r="O108" s="1266"/>
      <c r="P108" s="1266"/>
      <c r="Q108" s="1267"/>
      <c r="R108" s="1267"/>
      <c r="S108" s="1267"/>
      <c r="T108" s="1267"/>
      <c r="U108" s="1267"/>
      <c r="V108" s="1266"/>
      <c r="W108" s="1268"/>
      <c r="X108" s="755"/>
      <c r="Y108" s="756"/>
      <c r="Z108" s="756"/>
      <c r="AA108" s="756"/>
      <c r="AB108" s="756"/>
      <c r="AC108" s="757"/>
      <c r="AD108" s="758"/>
      <c r="AE108" s="759"/>
      <c r="AF108" s="759"/>
      <c r="AG108" s="759"/>
      <c r="AH108" s="759"/>
      <c r="AI108" s="759"/>
      <c r="AJ108" s="760"/>
      <c r="AK108" s="761"/>
      <c r="AL108" s="762"/>
      <c r="AM108" s="762"/>
      <c r="AN108" s="762"/>
      <c r="AO108" s="762"/>
      <c r="AP108" s="762"/>
      <c r="AQ108" s="1269"/>
      <c r="AR108" s="763"/>
      <c r="AS108" s="755"/>
      <c r="AT108" s="755"/>
      <c r="AU108" s="755"/>
      <c r="AV108" s="1266"/>
      <c r="AW108" s="1267"/>
      <c r="AX108" s="1791"/>
      <c r="AY108" s="1270"/>
      <c r="AZ108" s="1270"/>
      <c r="BA108" s="1270"/>
      <c r="BB108" s="1271"/>
      <c r="BC108" s="1270"/>
      <c r="BD108" s="1270"/>
      <c r="BE108" s="1270"/>
      <c r="BF108" s="1270"/>
      <c r="BG108" s="1270"/>
      <c r="BH108" s="1272"/>
      <c r="BI108" s="1270"/>
      <c r="BJ108" s="1270"/>
      <c r="BK108" s="1270"/>
      <c r="BL108" s="1270"/>
      <c r="BM108" s="1270"/>
      <c r="BN108" s="1270"/>
      <c r="BO108" s="1270"/>
      <c r="BP108" s="1270"/>
      <c r="BQ108" s="1270"/>
      <c r="BR108" s="1270"/>
      <c r="BS108" s="1270"/>
      <c r="BT108" s="1270"/>
      <c r="BU108" s="1270"/>
      <c r="BV108" s="1270"/>
      <c r="BW108" s="1270"/>
      <c r="BX108" s="1270"/>
      <c r="BY108" s="1270"/>
      <c r="BZ108" s="1270"/>
      <c r="CA108" s="1270"/>
      <c r="CB108" s="1270"/>
      <c r="CC108" s="1270"/>
      <c r="CD108" s="1270"/>
      <c r="CE108" s="1270"/>
    </row>
    <row r="109" spans="1:83" s="275" customFormat="1" hidden="1">
      <c r="A109" s="1936" t="s">
        <v>546</v>
      </c>
      <c r="B109" s="1937"/>
      <c r="C109" s="1203">
        <v>0</v>
      </c>
      <c r="D109" s="1203">
        <v>0</v>
      </c>
      <c r="E109" s="1273" t="str">
        <f t="shared" si="157"/>
        <v/>
      </c>
      <c r="F109" s="1274">
        <f t="shared" si="156"/>
        <v>0.25</v>
      </c>
      <c r="G109" s="1261">
        <f t="shared" si="155"/>
        <v>0</v>
      </c>
      <c r="H109" s="1262">
        <f>Setup!$R$13</f>
        <v>0</v>
      </c>
      <c r="I109" s="1276"/>
      <c r="J109" s="1267"/>
      <c r="K109" s="1265"/>
      <c r="L109" s="1265"/>
      <c r="M109" s="1265"/>
      <c r="N109" s="1265"/>
      <c r="O109" s="1266"/>
      <c r="P109" s="1266"/>
      <c r="Q109" s="1267"/>
      <c r="R109" s="1267"/>
      <c r="S109" s="1267"/>
      <c r="T109" s="1267"/>
      <c r="U109" s="1267"/>
      <c r="V109" s="1266"/>
      <c r="W109" s="1268"/>
      <c r="X109" s="755"/>
      <c r="Y109" s="756"/>
      <c r="Z109" s="756"/>
      <c r="AA109" s="756"/>
      <c r="AB109" s="756"/>
      <c r="AC109" s="757"/>
      <c r="AD109" s="758"/>
      <c r="AE109" s="759"/>
      <c r="AF109" s="759"/>
      <c r="AG109" s="759"/>
      <c r="AH109" s="759"/>
      <c r="AI109" s="759"/>
      <c r="AJ109" s="760"/>
      <c r="AK109" s="761"/>
      <c r="AL109" s="762"/>
      <c r="AM109" s="762"/>
      <c r="AN109" s="762"/>
      <c r="AO109" s="762"/>
      <c r="AP109" s="762"/>
      <c r="AQ109" s="1269"/>
      <c r="AR109" s="763"/>
      <c r="AS109" s="755"/>
      <c r="AT109" s="755"/>
      <c r="AU109" s="755"/>
      <c r="AV109" s="1266"/>
      <c r="AW109" s="1267"/>
      <c r="AX109" s="1791"/>
      <c r="AY109" s="1270"/>
      <c r="AZ109" s="1270"/>
      <c r="BA109" s="1270"/>
      <c r="BB109" s="1271"/>
      <c r="BC109" s="1270"/>
      <c r="BD109" s="1270"/>
      <c r="BE109" s="1270"/>
      <c r="BF109" s="1270"/>
      <c r="BG109" s="1270"/>
      <c r="BH109" s="1272"/>
      <c r="BI109" s="1270"/>
      <c r="BJ109" s="1270"/>
      <c r="BK109" s="1270"/>
      <c r="BL109" s="1270"/>
      <c r="BM109" s="1270"/>
      <c r="BN109" s="1270"/>
      <c r="BO109" s="1270"/>
      <c r="BP109" s="1270"/>
      <c r="BQ109" s="1270"/>
      <c r="BR109" s="1270"/>
      <c r="BS109" s="1270"/>
      <c r="BT109" s="1270"/>
      <c r="BU109" s="1270"/>
      <c r="BV109" s="1270"/>
      <c r="BW109" s="1270"/>
      <c r="BX109" s="1270"/>
      <c r="BY109" s="1270"/>
      <c r="BZ109" s="1270"/>
      <c r="CA109" s="1270"/>
      <c r="CB109" s="1270"/>
      <c r="CC109" s="1270"/>
      <c r="CD109" s="1270"/>
      <c r="CE109" s="1270"/>
    </row>
    <row r="110" spans="1:83" s="275" customFormat="1" hidden="1">
      <c r="A110" s="1932" t="s">
        <v>547</v>
      </c>
      <c r="B110" s="1933"/>
      <c r="C110" s="1258">
        <v>0</v>
      </c>
      <c r="D110" s="1258">
        <v>0</v>
      </c>
      <c r="E110" s="1259" t="str">
        <f t="shared" si="157"/>
        <v/>
      </c>
      <c r="F110" s="1274">
        <f t="shared" si="156"/>
        <v>0.25</v>
      </c>
      <c r="G110" s="1261">
        <f t="shared" si="155"/>
        <v>0</v>
      </c>
      <c r="H110" s="1262">
        <f>Setup!$R$13</f>
        <v>0</v>
      </c>
      <c r="I110" s="1276"/>
      <c r="J110" s="1267"/>
      <c r="K110" s="1265"/>
      <c r="L110" s="1265"/>
      <c r="M110" s="1265"/>
      <c r="N110" s="1265"/>
      <c r="O110" s="1266"/>
      <c r="P110" s="1266"/>
      <c r="Q110" s="1267"/>
      <c r="R110" s="1267"/>
      <c r="S110" s="1267"/>
      <c r="T110" s="1267"/>
      <c r="U110" s="1267"/>
      <c r="V110" s="1266"/>
      <c r="W110" s="1268"/>
      <c r="X110" s="755"/>
      <c r="Y110" s="756"/>
      <c r="Z110" s="756"/>
      <c r="AA110" s="756"/>
      <c r="AB110" s="756"/>
      <c r="AC110" s="757"/>
      <c r="AD110" s="758"/>
      <c r="AE110" s="759"/>
      <c r="AF110" s="759"/>
      <c r="AG110" s="759"/>
      <c r="AH110" s="759"/>
      <c r="AI110" s="759"/>
      <c r="AJ110" s="760"/>
      <c r="AK110" s="761"/>
      <c r="AL110" s="762"/>
      <c r="AM110" s="762"/>
      <c r="AN110" s="762"/>
      <c r="AO110" s="762"/>
      <c r="AP110" s="762"/>
      <c r="AQ110" s="1269"/>
      <c r="AR110" s="763"/>
      <c r="AS110" s="755"/>
      <c r="AT110" s="755"/>
      <c r="AU110" s="755"/>
      <c r="AV110" s="1266"/>
      <c r="AW110" s="1267"/>
      <c r="AX110" s="1791"/>
      <c r="AY110" s="1270"/>
      <c r="AZ110" s="1270"/>
      <c r="BA110" s="1270"/>
      <c r="BB110" s="1271"/>
      <c r="BC110" s="1270"/>
      <c r="BD110" s="1270"/>
      <c r="BE110" s="1270"/>
      <c r="BF110" s="1270"/>
      <c r="BG110" s="1270"/>
      <c r="BH110" s="1272"/>
      <c r="BI110" s="1270"/>
      <c r="BJ110" s="1270"/>
      <c r="BK110" s="1270"/>
      <c r="BL110" s="1270"/>
      <c r="BM110" s="1270"/>
      <c r="BN110" s="1270"/>
      <c r="BO110" s="1270"/>
      <c r="BP110" s="1270"/>
      <c r="BQ110" s="1270"/>
      <c r="BR110" s="1270"/>
      <c r="BS110" s="1270"/>
      <c r="BT110" s="1270"/>
      <c r="BU110" s="1270"/>
      <c r="BV110" s="1270"/>
      <c r="BW110" s="1270"/>
      <c r="BX110" s="1270"/>
      <c r="BY110" s="1270"/>
      <c r="BZ110" s="1270"/>
      <c r="CA110" s="1270"/>
      <c r="CB110" s="1270"/>
      <c r="CC110" s="1270"/>
      <c r="CD110" s="1270"/>
      <c r="CE110" s="1270"/>
    </row>
    <row r="111" spans="1:83" s="275" customFormat="1" hidden="1">
      <c r="A111" s="1936" t="s">
        <v>548</v>
      </c>
      <c r="B111" s="1937"/>
      <c r="C111" s="1203">
        <v>0</v>
      </c>
      <c r="D111" s="1203">
        <v>0</v>
      </c>
      <c r="E111" s="1273" t="str">
        <f t="shared" si="157"/>
        <v/>
      </c>
      <c r="F111" s="1274">
        <f t="shared" si="156"/>
        <v>0.25</v>
      </c>
      <c r="G111" s="1261">
        <f t="shared" si="155"/>
        <v>0</v>
      </c>
      <c r="H111" s="1262">
        <f>Setup!$R$13</f>
        <v>0</v>
      </c>
      <c r="I111" s="1276"/>
      <c r="J111" s="1267"/>
      <c r="K111" s="1265"/>
      <c r="L111" s="1265"/>
      <c r="M111" s="1265"/>
      <c r="N111" s="1265"/>
      <c r="O111" s="1266"/>
      <c r="P111" s="1266"/>
      <c r="Q111" s="1267"/>
      <c r="R111" s="1267"/>
      <c r="S111" s="1267"/>
      <c r="T111" s="1267"/>
      <c r="U111" s="1267"/>
      <c r="V111" s="1266"/>
      <c r="W111" s="1268"/>
      <c r="X111" s="755"/>
      <c r="Y111" s="756"/>
      <c r="Z111" s="756"/>
      <c r="AA111" s="756"/>
      <c r="AB111" s="756"/>
      <c r="AC111" s="757"/>
      <c r="AD111" s="758"/>
      <c r="AE111" s="759"/>
      <c r="AF111" s="759"/>
      <c r="AG111" s="759"/>
      <c r="AH111" s="759"/>
      <c r="AI111" s="759"/>
      <c r="AJ111" s="760"/>
      <c r="AK111" s="761"/>
      <c r="AL111" s="762"/>
      <c r="AM111" s="762"/>
      <c r="AN111" s="762"/>
      <c r="AO111" s="762"/>
      <c r="AP111" s="762"/>
      <c r="AQ111" s="1269"/>
      <c r="AR111" s="763"/>
      <c r="AS111" s="755"/>
      <c r="AT111" s="755"/>
      <c r="AU111" s="755"/>
      <c r="AV111" s="1266"/>
      <c r="AW111" s="1267"/>
      <c r="AX111" s="1791"/>
      <c r="AY111" s="1270"/>
      <c r="AZ111" s="1270"/>
      <c r="BA111" s="1270"/>
      <c r="BB111" s="1271"/>
      <c r="BC111" s="1270"/>
      <c r="BD111" s="1270"/>
      <c r="BE111" s="1270"/>
      <c r="BF111" s="1270"/>
      <c r="BG111" s="1270"/>
      <c r="BH111" s="1272"/>
      <c r="BI111" s="1270"/>
      <c r="BJ111" s="1270"/>
      <c r="BK111" s="1270"/>
      <c r="BL111" s="1270"/>
      <c r="BM111" s="1270"/>
      <c r="BN111" s="1270"/>
      <c r="BO111" s="1270"/>
      <c r="BP111" s="1270"/>
      <c r="BQ111" s="1270"/>
      <c r="BR111" s="1270"/>
      <c r="BS111" s="1270"/>
      <c r="BT111" s="1270"/>
      <c r="BU111" s="1270"/>
      <c r="BV111" s="1270"/>
      <c r="BW111" s="1270"/>
      <c r="BX111" s="1270"/>
      <c r="BY111" s="1270"/>
      <c r="BZ111" s="1270"/>
      <c r="CA111" s="1270"/>
      <c r="CB111" s="1270"/>
      <c r="CC111" s="1270"/>
      <c r="CD111" s="1270"/>
      <c r="CE111" s="1270"/>
    </row>
    <row r="112" spans="1:83" s="275" customFormat="1" hidden="1">
      <c r="A112" s="1932" t="s">
        <v>549</v>
      </c>
      <c r="B112" s="1933"/>
      <c r="C112" s="1258">
        <v>0</v>
      </c>
      <c r="D112" s="1258">
        <v>0</v>
      </c>
      <c r="E112" s="1259" t="str">
        <f t="shared" si="157"/>
        <v/>
      </c>
      <c r="F112" s="1260">
        <f t="shared" si="156"/>
        <v>0.25</v>
      </c>
      <c r="G112" s="1261">
        <f t="shared" si="155"/>
        <v>0</v>
      </c>
      <c r="H112" s="1262">
        <f>Setup!$R$13</f>
        <v>0</v>
      </c>
      <c r="I112" s="1276"/>
      <c r="J112" s="1267"/>
      <c r="K112" s="1265"/>
      <c r="L112" s="1265"/>
      <c r="M112" s="1265"/>
      <c r="N112" s="1265"/>
      <c r="O112" s="1266"/>
      <c r="P112" s="1266"/>
      <c r="Q112" s="1267"/>
      <c r="R112" s="1267"/>
      <c r="S112" s="1267"/>
      <c r="T112" s="1267"/>
      <c r="U112" s="1267"/>
      <c r="V112" s="1266"/>
      <c r="W112" s="1268"/>
      <c r="X112" s="755"/>
      <c r="Y112" s="756"/>
      <c r="Z112" s="756"/>
      <c r="AA112" s="756"/>
      <c r="AB112" s="756"/>
      <c r="AC112" s="757"/>
      <c r="AD112" s="758"/>
      <c r="AE112" s="759"/>
      <c r="AF112" s="759"/>
      <c r="AG112" s="759"/>
      <c r="AH112" s="759"/>
      <c r="AI112" s="759"/>
      <c r="AJ112" s="760"/>
      <c r="AK112" s="761"/>
      <c r="AL112" s="762"/>
      <c r="AM112" s="762"/>
      <c r="AN112" s="762"/>
      <c r="AO112" s="762"/>
      <c r="AP112" s="762"/>
      <c r="AQ112" s="1269"/>
      <c r="AR112" s="763"/>
      <c r="AS112" s="755"/>
      <c r="AT112" s="755"/>
      <c r="AU112" s="755"/>
      <c r="AV112" s="1266"/>
      <c r="AW112" s="1267"/>
      <c r="AX112" s="1791"/>
      <c r="AY112" s="1270"/>
      <c r="AZ112" s="1270"/>
      <c r="BA112" s="1270"/>
      <c r="BB112" s="1271"/>
      <c r="BC112" s="1270"/>
      <c r="BD112" s="1270"/>
      <c r="BE112" s="1270"/>
      <c r="BF112" s="1270"/>
      <c r="BG112" s="1270"/>
      <c r="BH112" s="1272"/>
      <c r="BI112" s="1270"/>
      <c r="BJ112" s="1270"/>
      <c r="BK112" s="1270"/>
      <c r="BL112" s="1270"/>
      <c r="BM112" s="1270"/>
      <c r="BN112" s="1270"/>
      <c r="BO112" s="1270"/>
      <c r="BP112" s="1270"/>
      <c r="BQ112" s="1270"/>
      <c r="BR112" s="1270"/>
      <c r="BS112" s="1270"/>
      <c r="BT112" s="1270"/>
      <c r="BU112" s="1270"/>
      <c r="BV112" s="1270"/>
      <c r="BW112" s="1270"/>
      <c r="BX112" s="1270"/>
      <c r="BY112" s="1270"/>
      <c r="BZ112" s="1270"/>
      <c r="CA112" s="1270"/>
      <c r="CB112" s="1270"/>
      <c r="CC112" s="1270"/>
      <c r="CD112" s="1270"/>
      <c r="CE112" s="1270"/>
    </row>
    <row r="113" spans="1:90" s="276" customFormat="1" collapsed="1">
      <c r="A113" s="1928" t="s">
        <v>550</v>
      </c>
      <c r="B113" s="1929"/>
      <c r="C113" s="1206">
        <f>SUM(C102:C112)</f>
        <v>0</v>
      </c>
      <c r="D113" s="1206">
        <f>SUM(D102:D112)</f>
        <v>0</v>
      </c>
      <c r="E113" s="1277" t="str">
        <f t="shared" si="157"/>
        <v/>
      </c>
      <c r="F113" s="1278" t="str">
        <f>IF(D113=0,"",1-G113/D113)</f>
        <v/>
      </c>
      <c r="G113" s="1206">
        <f>SUM(G102:G112)</f>
        <v>0</v>
      </c>
      <c r="H113" s="1206"/>
      <c r="I113" s="1279"/>
      <c r="J113" s="1280"/>
      <c r="K113" s="1281"/>
      <c r="L113" s="1281"/>
      <c r="M113" s="1281"/>
      <c r="N113" s="1281"/>
      <c r="O113" s="1282"/>
      <c r="P113" s="1282"/>
      <c r="Q113" s="1280"/>
      <c r="R113" s="1280"/>
      <c r="S113" s="1280"/>
      <c r="T113" s="1280"/>
      <c r="U113" s="1280"/>
      <c r="V113" s="1282"/>
      <c r="W113" s="1283"/>
      <c r="X113" s="764"/>
      <c r="Y113" s="765"/>
      <c r="Z113" s="765"/>
      <c r="AA113" s="765"/>
      <c r="AB113" s="765"/>
      <c r="AC113" s="766"/>
      <c r="AD113" s="767"/>
      <c r="AE113" s="768"/>
      <c r="AF113" s="768"/>
      <c r="AG113" s="768"/>
      <c r="AH113" s="768"/>
      <c r="AI113" s="768"/>
      <c r="AJ113" s="769"/>
      <c r="AK113" s="770"/>
      <c r="AL113" s="771"/>
      <c r="AM113" s="771"/>
      <c r="AN113" s="771"/>
      <c r="AO113" s="771"/>
      <c r="AP113" s="771"/>
      <c r="AQ113" s="1284"/>
      <c r="AR113" s="772"/>
      <c r="AS113" s="764"/>
      <c r="AT113" s="764"/>
      <c r="AU113" s="764"/>
      <c r="AV113" s="1282"/>
      <c r="AW113" s="1280"/>
      <c r="AX113" s="1285"/>
      <c r="AY113" s="1286"/>
      <c r="AZ113" s="1286"/>
      <c r="BA113" s="1286"/>
      <c r="BB113" s="1215"/>
      <c r="BC113" s="1286"/>
      <c r="BD113" s="1286"/>
      <c r="BE113" s="1286"/>
      <c r="BF113" s="1286"/>
      <c r="BG113" s="1286"/>
      <c r="BH113" s="1207"/>
      <c r="BI113" s="1286"/>
      <c r="BJ113" s="1286"/>
      <c r="BK113" s="1286"/>
      <c r="BL113" s="1286"/>
      <c r="BM113" s="1286"/>
      <c r="BN113" s="1286"/>
      <c r="BO113" s="1286"/>
      <c r="BP113" s="1286"/>
      <c r="BQ113" s="1286"/>
      <c r="BR113" s="1286"/>
      <c r="BS113" s="1286"/>
      <c r="BT113" s="1286"/>
      <c r="BU113" s="1286"/>
      <c r="BV113" s="1286"/>
      <c r="BW113" s="1286"/>
      <c r="BX113" s="1286"/>
      <c r="BY113" s="1286"/>
      <c r="BZ113" s="1286"/>
      <c r="CA113" s="1286"/>
      <c r="CB113" s="1286"/>
      <c r="CC113" s="1286"/>
      <c r="CD113" s="1286"/>
      <c r="CE113" s="1286"/>
      <c r="CF113" s="1286"/>
      <c r="CG113" s="1286"/>
      <c r="CH113" s="1286"/>
      <c r="CI113" s="1286"/>
      <c r="CJ113" s="1286"/>
      <c r="CK113" s="1286"/>
      <c r="CL113" s="1286"/>
    </row>
    <row r="114" spans="1:90">
      <c r="C114" s="277"/>
      <c r="H114" s="97"/>
      <c r="I114" s="97"/>
      <c r="J114" s="727"/>
      <c r="K114" s="773"/>
      <c r="L114" s="773"/>
      <c r="M114" s="728"/>
      <c r="N114" s="728"/>
      <c r="O114" s="774"/>
      <c r="P114" s="775"/>
      <c r="Q114" s="731"/>
      <c r="R114" s="743"/>
      <c r="S114" s="743"/>
      <c r="T114" s="732"/>
      <c r="U114" s="732"/>
      <c r="V114" s="776"/>
      <c r="W114" s="777"/>
      <c r="X114" s="735"/>
      <c r="Y114" s="744"/>
      <c r="Z114" s="744"/>
      <c r="AA114" s="736"/>
      <c r="AB114" s="736"/>
      <c r="AC114" s="778"/>
      <c r="AD114" s="745"/>
      <c r="AE114" s="739"/>
      <c r="AF114" s="742"/>
      <c r="AG114" s="742"/>
      <c r="AH114" s="740"/>
      <c r="AI114" s="740"/>
      <c r="AJ114" s="779"/>
      <c r="AK114" s="739"/>
      <c r="AL114" s="731"/>
      <c r="AM114" s="743"/>
      <c r="AN114" s="743"/>
      <c r="AO114" s="732"/>
      <c r="AP114" s="732"/>
      <c r="AQ114" s="774"/>
      <c r="AR114" s="731"/>
      <c r="AS114" s="735"/>
      <c r="AT114" s="735"/>
      <c r="AU114" s="735"/>
      <c r="AV114" s="1231"/>
      <c r="AW114" s="68"/>
      <c r="AX114" s="68"/>
    </row>
    <row r="115" spans="1:90" s="275" customFormat="1">
      <c r="A115" s="1231" t="s">
        <v>155</v>
      </c>
      <c r="B115" s="1232"/>
      <c r="C115" s="1232"/>
      <c r="D115" s="1233"/>
      <c r="E115" s="1232"/>
      <c r="F115" s="1232"/>
      <c r="G115" s="1232"/>
      <c r="H115" s="1234"/>
      <c r="I115" s="1235"/>
      <c r="J115" s="1236"/>
      <c r="K115" s="1237"/>
      <c r="L115" s="1237"/>
      <c r="M115" s="1238"/>
      <c r="N115" s="1238"/>
      <c r="O115" s="1287"/>
      <c r="P115" s="1231"/>
      <c r="Q115" s="1236"/>
      <c r="R115" s="1237"/>
      <c r="S115" s="1237"/>
      <c r="T115" s="1238"/>
      <c r="U115" s="1238"/>
      <c r="V115" s="1287"/>
      <c r="W115" s="1231"/>
      <c r="X115" s="735"/>
      <c r="Y115" s="744"/>
      <c r="Z115" s="744"/>
      <c r="AA115" s="736"/>
      <c r="AB115" s="736"/>
      <c r="AC115" s="778"/>
      <c r="AD115" s="745"/>
      <c r="AE115" s="739"/>
      <c r="AF115" s="742"/>
      <c r="AG115" s="742"/>
      <c r="AH115" s="740"/>
      <c r="AI115" s="740"/>
      <c r="AJ115" s="779"/>
      <c r="AK115" s="739"/>
      <c r="AL115" s="731"/>
      <c r="AM115" s="743"/>
      <c r="AN115" s="743"/>
      <c r="AO115" s="732"/>
      <c r="AP115" s="732"/>
      <c r="AQ115" s="774"/>
      <c r="AR115" s="731"/>
      <c r="AS115" s="735"/>
      <c r="AT115" s="735"/>
      <c r="AU115" s="735"/>
      <c r="AV115" s="1231"/>
      <c r="AW115" s="1236"/>
      <c r="AX115" s="1236"/>
      <c r="AY115" s="1234"/>
      <c r="AZ115" s="1234"/>
      <c r="BA115" s="1234"/>
      <c r="BB115" s="1234"/>
      <c r="BC115" s="1234"/>
      <c r="BD115" s="1234"/>
      <c r="BE115" s="1234"/>
      <c r="BF115" s="1234"/>
      <c r="BG115" s="1234"/>
      <c r="BH115" s="1240"/>
      <c r="BI115" s="1234"/>
      <c r="BJ115" s="1234"/>
      <c r="BK115" s="1234"/>
      <c r="BL115" s="1234"/>
      <c r="BM115" s="1234"/>
      <c r="BN115" s="1234"/>
      <c r="BO115" s="1234"/>
      <c r="BP115" s="1234"/>
      <c r="BQ115" s="1234"/>
      <c r="BR115" s="1234"/>
      <c r="BS115" s="1234"/>
      <c r="BT115" s="1234"/>
      <c r="BU115" s="1234"/>
      <c r="BV115" s="1234"/>
      <c r="BW115" s="1234"/>
      <c r="BX115" s="1234"/>
      <c r="BY115" s="1234"/>
      <c r="BZ115" s="1234"/>
      <c r="CA115" s="1234"/>
      <c r="CB115" s="1234"/>
      <c r="CC115" s="1234"/>
      <c r="CD115" s="1234"/>
      <c r="CE115" s="1234"/>
      <c r="CF115" s="1234"/>
      <c r="CG115" s="1234"/>
      <c r="CH115" s="1234"/>
      <c r="CI115" s="1234"/>
      <c r="CJ115" s="1234"/>
      <c r="CK115" s="1234"/>
      <c r="CL115" s="1234"/>
    </row>
    <row r="116" spans="1:90" s="133" customFormat="1" ht="38.25">
      <c r="A116" s="1934" t="s">
        <v>551</v>
      </c>
      <c r="B116" s="1935"/>
      <c r="C116" s="1243" t="s">
        <v>552</v>
      </c>
      <c r="D116" s="1244" t="s">
        <v>553</v>
      </c>
      <c r="E116" s="1243" t="s">
        <v>554</v>
      </c>
      <c r="F116" s="1243" t="s">
        <v>536</v>
      </c>
      <c r="G116" s="1243" t="s">
        <v>537</v>
      </c>
      <c r="H116" s="1243" t="s">
        <v>538</v>
      </c>
      <c r="I116" s="1288" t="str">
        <f>IF(Sources!$D$56&lt;1,"","Comments")</f>
        <v/>
      </c>
      <c r="J116" s="1246" t="str">
        <f>IF(I116="","Comments","")</f>
        <v>Comments</v>
      </c>
      <c r="K116" s="1247"/>
      <c r="L116" s="1247"/>
      <c r="M116" s="1248"/>
      <c r="N116" s="1248"/>
      <c r="O116" s="1249"/>
      <c r="P116" s="1246"/>
      <c r="Q116" s="1246"/>
      <c r="R116" s="1246"/>
      <c r="S116" s="1246"/>
      <c r="T116" s="1249"/>
      <c r="U116" s="1249"/>
      <c r="V116" s="1249"/>
      <c r="W116" s="1250"/>
      <c r="X116" s="746"/>
      <c r="Y116" s="747"/>
      <c r="Z116" s="747"/>
      <c r="AA116" s="748"/>
      <c r="AB116" s="748"/>
      <c r="AC116" s="749"/>
      <c r="AD116" s="750"/>
      <c r="AE116" s="751"/>
      <c r="AF116" s="751"/>
      <c r="AG116" s="751"/>
      <c r="AH116" s="752"/>
      <c r="AI116" s="752"/>
      <c r="AJ116" s="753"/>
      <c r="AK116" s="754"/>
      <c r="AL116" s="1251"/>
      <c r="AM116" s="1251"/>
      <c r="AN116" s="1251"/>
      <c r="AO116" s="1252"/>
      <c r="AP116" s="1252"/>
      <c r="AQ116" s="1253"/>
      <c r="AR116" s="1254"/>
      <c r="AS116" s="746"/>
      <c r="AT116" s="746"/>
      <c r="AU116" s="746"/>
      <c r="AV116" s="1246"/>
      <c r="AW116" s="1246"/>
      <c r="AX116" s="1255"/>
      <c r="AY116" s="1289"/>
      <c r="AZ116" s="1289"/>
      <c r="BA116" s="1289"/>
      <c r="BB116" s="1290"/>
      <c r="BC116" s="1289"/>
      <c r="BD116" s="1289"/>
      <c r="BE116" s="1289"/>
      <c r="BF116" s="1289"/>
      <c r="BG116" s="1289"/>
      <c r="BH116" s="1291"/>
      <c r="BI116" s="1289"/>
      <c r="BJ116" s="1289"/>
      <c r="BK116" s="1289"/>
      <c r="BL116" s="1289"/>
      <c r="BM116" s="1289"/>
      <c r="BN116" s="1289"/>
      <c r="BO116" s="1289"/>
      <c r="BP116" s="1188"/>
      <c r="BQ116" s="1188"/>
      <c r="BR116" s="1188"/>
      <c r="BS116" s="1188"/>
      <c r="BT116" s="1188"/>
      <c r="BU116" s="1188"/>
      <c r="BV116" s="1188"/>
      <c r="BW116" s="1188"/>
      <c r="BX116" s="1188"/>
      <c r="BY116" s="1188"/>
      <c r="BZ116" s="1188"/>
      <c r="CA116" s="1188"/>
      <c r="CB116" s="1188"/>
      <c r="CC116" s="1188"/>
      <c r="CD116" s="1188"/>
      <c r="CE116" s="1188"/>
      <c r="CF116" s="1188"/>
      <c r="CG116" s="1188"/>
      <c r="CH116" s="1188"/>
      <c r="CI116" s="1188"/>
      <c r="CJ116" s="1188"/>
      <c r="CK116" s="1188"/>
      <c r="CL116" s="1188"/>
    </row>
    <row r="117" spans="1:90" s="275" customFormat="1">
      <c r="A117" s="1932" t="s">
        <v>555</v>
      </c>
      <c r="B117" s="1933"/>
      <c r="C117" s="1258">
        <v>0</v>
      </c>
      <c r="D117" s="1292" t="s">
        <v>19</v>
      </c>
      <c r="E117" s="1293">
        <f>ROUND(IF(D117=Lists!$M$12,'Units&amp;Income'!C117*365,IF('Units&amp;Income'!D117=Lists!$M$13,C117*52,IF(D117=Lists!$M$14,C117*12,IF(D117=Lists!$M$15,C117,"")))),0)</f>
        <v>0</v>
      </c>
      <c r="F117" s="1260">
        <v>0.1</v>
      </c>
      <c r="G117" s="1261">
        <f t="shared" ref="G117:G127" si="158">ROUND(E117*(1-F117),0)</f>
        <v>0</v>
      </c>
      <c r="H117" s="1294">
        <f>Setup!$R$14</f>
        <v>0.03</v>
      </c>
      <c r="I117" s="1790"/>
      <c r="J117" s="1267"/>
      <c r="K117" s="1265"/>
      <c r="L117" s="1265"/>
      <c r="M117" s="1265"/>
      <c r="N117" s="1265"/>
      <c r="O117" s="1266"/>
      <c r="P117" s="1266"/>
      <c r="Q117" s="1267"/>
      <c r="R117" s="1267"/>
      <c r="S117" s="1267"/>
      <c r="T117" s="1267"/>
      <c r="U117" s="1267"/>
      <c r="V117" s="1266"/>
      <c r="W117" s="1268"/>
      <c r="X117" s="755"/>
      <c r="Y117" s="756"/>
      <c r="Z117" s="756"/>
      <c r="AA117" s="756"/>
      <c r="AB117" s="756"/>
      <c r="AC117" s="757"/>
      <c r="AD117" s="758"/>
      <c r="AE117" s="759"/>
      <c r="AF117" s="759"/>
      <c r="AG117" s="759"/>
      <c r="AH117" s="759"/>
      <c r="AI117" s="759"/>
      <c r="AJ117" s="760"/>
      <c r="AK117" s="761"/>
      <c r="AL117" s="762"/>
      <c r="AM117" s="762"/>
      <c r="AN117" s="762"/>
      <c r="AO117" s="762"/>
      <c r="AP117" s="762"/>
      <c r="AQ117" s="1269"/>
      <c r="AR117" s="763"/>
      <c r="AS117" s="755"/>
      <c r="AT117" s="755"/>
      <c r="AU117" s="755"/>
      <c r="AV117" s="1266"/>
      <c r="AW117" s="1267"/>
      <c r="AX117" s="1791"/>
      <c r="AY117" s="1295"/>
      <c r="AZ117" s="1295"/>
      <c r="BA117" s="1295"/>
      <c r="BB117" s="1296"/>
      <c r="BC117" s="1295"/>
      <c r="BD117" s="1295"/>
      <c r="BE117" s="1295"/>
      <c r="BF117" s="1295"/>
      <c r="BG117" s="1295"/>
      <c r="BH117" s="1297"/>
      <c r="BI117" s="1295"/>
      <c r="BJ117" s="1295"/>
      <c r="BK117" s="1295"/>
      <c r="BL117" s="1295"/>
      <c r="BM117" s="1295"/>
      <c r="BN117" s="1295"/>
      <c r="BO117" s="1295"/>
      <c r="BP117" s="1270"/>
      <c r="BQ117" s="1270"/>
      <c r="BR117" s="1270"/>
      <c r="BS117" s="1270"/>
      <c r="BT117" s="1270"/>
      <c r="BU117" s="1270"/>
      <c r="BV117" s="1270"/>
      <c r="BW117" s="1270"/>
      <c r="BX117" s="1270"/>
      <c r="BY117" s="1270"/>
      <c r="BZ117" s="1270"/>
      <c r="CA117" s="1270"/>
      <c r="CB117" s="1270"/>
      <c r="CC117" s="1270"/>
      <c r="CD117" s="1270"/>
      <c r="CE117" s="1270"/>
      <c r="CF117" s="1270"/>
      <c r="CG117" s="1270"/>
      <c r="CH117" s="1270"/>
      <c r="CI117" s="1270"/>
      <c r="CJ117" s="1270"/>
      <c r="CK117" s="1270"/>
      <c r="CL117" s="1270"/>
    </row>
    <row r="118" spans="1:90" s="275" customFormat="1">
      <c r="A118" s="1936" t="s">
        <v>556</v>
      </c>
      <c r="B118" s="1937"/>
      <c r="C118" s="1203">
        <v>0</v>
      </c>
      <c r="D118" s="1298" t="s">
        <v>557</v>
      </c>
      <c r="E118" s="1293">
        <f>ROUND(IF(D118=Lists!$M$12,'Units&amp;Income'!C118*365,IF('Units&amp;Income'!D118=Lists!$M$13,C118*52,IF(D118=Lists!$M$14,C118*12,IF(D118=Lists!$M$15,C118,"")))),0)</f>
        <v>0</v>
      </c>
      <c r="F118" s="1274">
        <f t="shared" ref="F118:F127" si="159">F117</f>
        <v>0.1</v>
      </c>
      <c r="G118" s="1261">
        <f t="shared" si="158"/>
        <v>0</v>
      </c>
      <c r="H118" s="1294">
        <f>Setup!$R$14</f>
        <v>0.03</v>
      </c>
      <c r="I118" s="1790"/>
      <c r="J118" s="1267"/>
      <c r="K118" s="1265"/>
      <c r="L118" s="1265"/>
      <c r="M118" s="1265"/>
      <c r="N118" s="1265"/>
      <c r="O118" s="1266"/>
      <c r="P118" s="1266"/>
      <c r="Q118" s="1267"/>
      <c r="R118" s="1267"/>
      <c r="S118" s="1267"/>
      <c r="T118" s="1267"/>
      <c r="U118" s="1267"/>
      <c r="V118" s="1266"/>
      <c r="W118" s="1268"/>
      <c r="X118" s="755"/>
      <c r="Y118" s="756"/>
      <c r="Z118" s="756"/>
      <c r="AA118" s="756"/>
      <c r="AB118" s="756"/>
      <c r="AC118" s="757"/>
      <c r="AD118" s="758"/>
      <c r="AE118" s="759"/>
      <c r="AF118" s="759"/>
      <c r="AG118" s="759"/>
      <c r="AH118" s="759"/>
      <c r="AI118" s="759"/>
      <c r="AJ118" s="760"/>
      <c r="AK118" s="761"/>
      <c r="AL118" s="762"/>
      <c r="AM118" s="762"/>
      <c r="AN118" s="762"/>
      <c r="AO118" s="762"/>
      <c r="AP118" s="762"/>
      <c r="AQ118" s="1269"/>
      <c r="AR118" s="763"/>
      <c r="AS118" s="755"/>
      <c r="AT118" s="755"/>
      <c r="AU118" s="755"/>
      <c r="AV118" s="1266"/>
      <c r="AW118" s="1267"/>
      <c r="AX118" s="1791"/>
      <c r="AY118" s="1295"/>
      <c r="AZ118" s="1295"/>
      <c r="BA118" s="1295"/>
      <c r="BB118" s="1296"/>
      <c r="BC118" s="1295"/>
      <c r="BD118" s="1295"/>
      <c r="BE118" s="1295"/>
      <c r="BF118" s="1295"/>
      <c r="BG118" s="1295"/>
      <c r="BH118" s="1297"/>
      <c r="BI118" s="1295"/>
      <c r="BJ118" s="1295"/>
      <c r="BK118" s="1295"/>
      <c r="BL118" s="1295"/>
      <c r="BM118" s="1295"/>
      <c r="BN118" s="1295"/>
      <c r="BO118" s="1295"/>
      <c r="BP118" s="1270"/>
      <c r="BQ118" s="1270"/>
      <c r="BR118" s="1270"/>
      <c r="BS118" s="1270"/>
      <c r="BT118" s="1270"/>
      <c r="BU118" s="1270"/>
      <c r="BV118" s="1270"/>
      <c r="BW118" s="1270"/>
      <c r="BX118" s="1270"/>
      <c r="BY118" s="1270"/>
      <c r="BZ118" s="1270"/>
      <c r="CA118" s="1270"/>
      <c r="CB118" s="1270"/>
      <c r="CC118" s="1270"/>
      <c r="CD118" s="1270"/>
      <c r="CE118" s="1270"/>
      <c r="CF118" s="1270"/>
      <c r="CG118" s="1270"/>
      <c r="CH118" s="1270"/>
      <c r="CI118" s="1270"/>
      <c r="CJ118" s="1270"/>
      <c r="CK118" s="1270"/>
      <c r="CL118" s="1270"/>
    </row>
    <row r="119" spans="1:90" s="275" customFormat="1" hidden="1">
      <c r="A119" s="1927" t="s">
        <v>558</v>
      </c>
      <c r="B119" s="1927"/>
      <c r="C119" s="1258">
        <v>0</v>
      </c>
      <c r="D119" s="1292" t="s">
        <v>557</v>
      </c>
      <c r="E119" s="1293">
        <f>ROUND(IF(D119=Lists!$M$12,'Units&amp;Income'!C119*365,IF('Units&amp;Income'!D119=Lists!$M$13,C119*52,IF(D119=Lists!$M$14,C119*12,IF(D119=Lists!$M$15,C119,"")))),0)</f>
        <v>0</v>
      </c>
      <c r="F119" s="1274">
        <f t="shared" si="159"/>
        <v>0.1</v>
      </c>
      <c r="G119" s="1261">
        <f t="shared" si="158"/>
        <v>0</v>
      </c>
      <c r="H119" s="1294">
        <f>Setup!$R$14</f>
        <v>0.03</v>
      </c>
      <c r="I119" s="1790"/>
      <c r="J119" s="1267"/>
      <c r="K119" s="1265"/>
      <c r="L119" s="1265"/>
      <c r="M119" s="1265"/>
      <c r="N119" s="1265"/>
      <c r="O119" s="1266"/>
      <c r="P119" s="1266"/>
      <c r="Q119" s="1267"/>
      <c r="R119" s="1267"/>
      <c r="S119" s="1267"/>
      <c r="T119" s="1267"/>
      <c r="U119" s="1267"/>
      <c r="V119" s="1266"/>
      <c r="W119" s="1268"/>
      <c r="X119" s="755"/>
      <c r="Y119" s="756"/>
      <c r="Z119" s="756"/>
      <c r="AA119" s="756"/>
      <c r="AB119" s="756"/>
      <c r="AC119" s="757"/>
      <c r="AD119" s="758"/>
      <c r="AE119" s="759"/>
      <c r="AF119" s="759"/>
      <c r="AG119" s="759"/>
      <c r="AH119" s="759"/>
      <c r="AI119" s="759"/>
      <c r="AJ119" s="760"/>
      <c r="AK119" s="761"/>
      <c r="AL119" s="762"/>
      <c r="AM119" s="762"/>
      <c r="AN119" s="762"/>
      <c r="AO119" s="762"/>
      <c r="AP119" s="762"/>
      <c r="AQ119" s="1269"/>
      <c r="AR119" s="763"/>
      <c r="AS119" s="755"/>
      <c r="AT119" s="755"/>
      <c r="AU119" s="755"/>
      <c r="AV119" s="1266"/>
      <c r="AW119" s="1267"/>
      <c r="AX119" s="1791"/>
      <c r="AY119" s="1295"/>
      <c r="AZ119" s="1295"/>
      <c r="BA119" s="1295"/>
      <c r="BB119" s="1296"/>
      <c r="BC119" s="1295"/>
      <c r="BD119" s="1295"/>
      <c r="BE119" s="1295"/>
      <c r="BF119" s="1295"/>
      <c r="BG119" s="1295"/>
      <c r="BH119" s="1297"/>
      <c r="BI119" s="1295"/>
      <c r="BJ119" s="1295"/>
      <c r="BK119" s="1295"/>
      <c r="BL119" s="1295"/>
      <c r="BM119" s="1295"/>
      <c r="BN119" s="1295"/>
      <c r="BO119" s="1295"/>
      <c r="BP119" s="1270"/>
      <c r="BQ119" s="1270"/>
      <c r="BR119" s="1270"/>
      <c r="BS119" s="1270"/>
      <c r="BT119" s="1270"/>
      <c r="BU119" s="1270"/>
      <c r="BV119" s="1270"/>
      <c r="BW119" s="1270"/>
      <c r="BX119" s="1270"/>
      <c r="BY119" s="1270"/>
      <c r="BZ119" s="1270"/>
      <c r="CA119" s="1270"/>
      <c r="CB119" s="1270"/>
      <c r="CC119" s="1270"/>
      <c r="CD119" s="1270"/>
      <c r="CE119" s="1270"/>
      <c r="CF119" s="1270"/>
      <c r="CG119" s="1270"/>
      <c r="CH119" s="1270"/>
      <c r="CI119" s="1270"/>
      <c r="CJ119" s="1270"/>
      <c r="CK119" s="1270"/>
      <c r="CL119" s="1270"/>
    </row>
    <row r="120" spans="1:90" s="275" customFormat="1" hidden="1">
      <c r="A120" s="1927" t="s">
        <v>559</v>
      </c>
      <c r="B120" s="1927"/>
      <c r="C120" s="1203">
        <v>0</v>
      </c>
      <c r="D120" s="1298" t="s">
        <v>557</v>
      </c>
      <c r="E120" s="1293">
        <f>ROUND(IF(D120=Lists!$M$12,'Units&amp;Income'!C120*365,IF('Units&amp;Income'!D120=Lists!$M$13,C120*52,IF(D120=Lists!$M$14,C120*12,IF(D120=Lists!$M$15,C120,"")))),0)</f>
        <v>0</v>
      </c>
      <c r="F120" s="1274">
        <f t="shared" si="159"/>
        <v>0.1</v>
      </c>
      <c r="G120" s="1261">
        <f t="shared" si="158"/>
        <v>0</v>
      </c>
      <c r="H120" s="1294">
        <f>Setup!$R$14</f>
        <v>0.03</v>
      </c>
      <c r="I120" s="1790"/>
      <c r="J120" s="1267"/>
      <c r="K120" s="1265"/>
      <c r="L120" s="1265"/>
      <c r="M120" s="1265"/>
      <c r="N120" s="1265"/>
      <c r="O120" s="1266"/>
      <c r="P120" s="1266"/>
      <c r="Q120" s="1267"/>
      <c r="R120" s="1267"/>
      <c r="S120" s="1267"/>
      <c r="T120" s="1267"/>
      <c r="U120" s="1267"/>
      <c r="V120" s="1266"/>
      <c r="W120" s="1268"/>
      <c r="X120" s="755"/>
      <c r="Y120" s="756"/>
      <c r="Z120" s="756"/>
      <c r="AA120" s="756"/>
      <c r="AB120" s="756"/>
      <c r="AC120" s="757"/>
      <c r="AD120" s="758"/>
      <c r="AE120" s="759"/>
      <c r="AF120" s="759"/>
      <c r="AG120" s="759"/>
      <c r="AH120" s="759"/>
      <c r="AI120" s="759"/>
      <c r="AJ120" s="760"/>
      <c r="AK120" s="761"/>
      <c r="AL120" s="762"/>
      <c r="AM120" s="762"/>
      <c r="AN120" s="762"/>
      <c r="AO120" s="762"/>
      <c r="AP120" s="762"/>
      <c r="AQ120" s="1269"/>
      <c r="AR120" s="763"/>
      <c r="AS120" s="755"/>
      <c r="AT120" s="755"/>
      <c r="AU120" s="755"/>
      <c r="AV120" s="1266"/>
      <c r="AW120" s="1267"/>
      <c r="AX120" s="1791"/>
      <c r="AY120" s="1295"/>
      <c r="AZ120" s="1295"/>
      <c r="BA120" s="1295"/>
      <c r="BB120" s="1296"/>
      <c r="BC120" s="1295"/>
      <c r="BD120" s="1295"/>
      <c r="BE120" s="1295"/>
      <c r="BF120" s="1295"/>
      <c r="BG120" s="1295"/>
      <c r="BH120" s="1297"/>
      <c r="BI120" s="1295"/>
      <c r="BJ120" s="1295"/>
      <c r="BK120" s="1295"/>
      <c r="BL120" s="1295"/>
      <c r="BM120" s="1295"/>
      <c r="BN120" s="1295"/>
      <c r="BO120" s="1295"/>
      <c r="BP120" s="1270"/>
      <c r="BQ120" s="1270"/>
      <c r="BR120" s="1270"/>
      <c r="BS120" s="1270"/>
      <c r="BT120" s="1270"/>
      <c r="BU120" s="1270"/>
      <c r="BV120" s="1270"/>
      <c r="BW120" s="1270"/>
      <c r="BX120" s="1270"/>
      <c r="BY120" s="1270"/>
      <c r="BZ120" s="1270"/>
      <c r="CA120" s="1270"/>
      <c r="CB120" s="1270"/>
      <c r="CC120" s="1270"/>
      <c r="CD120" s="1270"/>
      <c r="CE120" s="1270"/>
      <c r="CF120" s="1270"/>
      <c r="CG120" s="1270"/>
      <c r="CH120" s="1270"/>
      <c r="CI120" s="1270"/>
      <c r="CJ120" s="1270"/>
      <c r="CK120" s="1270"/>
      <c r="CL120" s="1270"/>
    </row>
    <row r="121" spans="1:90" s="275" customFormat="1" hidden="1">
      <c r="A121" s="1927" t="s">
        <v>560</v>
      </c>
      <c r="B121" s="1927"/>
      <c r="C121" s="1258">
        <v>0</v>
      </c>
      <c r="D121" s="1292" t="s">
        <v>557</v>
      </c>
      <c r="E121" s="1293">
        <f>ROUND(IF(D121=Lists!$M$12,'Units&amp;Income'!C121*365,IF('Units&amp;Income'!D121=Lists!$M$13,C121*52,IF(D121=Lists!$M$14,C121*12,IF(D121=Lists!$M$15,C121,"")))),0)</f>
        <v>0</v>
      </c>
      <c r="F121" s="1274">
        <f t="shared" si="159"/>
        <v>0.1</v>
      </c>
      <c r="G121" s="1261">
        <f t="shared" si="158"/>
        <v>0</v>
      </c>
      <c r="H121" s="1294">
        <f>Setup!$R$14</f>
        <v>0.03</v>
      </c>
      <c r="I121" s="1790"/>
      <c r="J121" s="1267"/>
      <c r="K121" s="1265"/>
      <c r="L121" s="1265"/>
      <c r="M121" s="1265"/>
      <c r="N121" s="1265"/>
      <c r="O121" s="1266"/>
      <c r="P121" s="1266"/>
      <c r="Q121" s="1267"/>
      <c r="R121" s="1267"/>
      <c r="S121" s="1267"/>
      <c r="T121" s="1267"/>
      <c r="U121" s="1267"/>
      <c r="V121" s="1266"/>
      <c r="W121" s="1268"/>
      <c r="X121" s="755"/>
      <c r="Y121" s="756"/>
      <c r="Z121" s="756"/>
      <c r="AA121" s="756"/>
      <c r="AB121" s="756"/>
      <c r="AC121" s="757"/>
      <c r="AD121" s="758"/>
      <c r="AE121" s="759"/>
      <c r="AF121" s="759"/>
      <c r="AG121" s="759"/>
      <c r="AH121" s="759"/>
      <c r="AI121" s="759"/>
      <c r="AJ121" s="760"/>
      <c r="AK121" s="761"/>
      <c r="AL121" s="762"/>
      <c r="AM121" s="762"/>
      <c r="AN121" s="762"/>
      <c r="AO121" s="762"/>
      <c r="AP121" s="762"/>
      <c r="AQ121" s="1269"/>
      <c r="AR121" s="763"/>
      <c r="AS121" s="755"/>
      <c r="AT121" s="755"/>
      <c r="AU121" s="755"/>
      <c r="AV121" s="1266"/>
      <c r="AW121" s="1267"/>
      <c r="AX121" s="1791"/>
      <c r="AY121" s="1295"/>
      <c r="AZ121" s="1295"/>
      <c r="BA121" s="1295"/>
      <c r="BB121" s="1296"/>
      <c r="BC121" s="1295"/>
      <c r="BD121" s="1295"/>
      <c r="BE121" s="1295"/>
      <c r="BF121" s="1295"/>
      <c r="BG121" s="1295"/>
      <c r="BH121" s="1297"/>
      <c r="BI121" s="1295"/>
      <c r="BJ121" s="1295"/>
      <c r="BK121" s="1295"/>
      <c r="BL121" s="1295"/>
      <c r="BM121" s="1295"/>
      <c r="BN121" s="1295"/>
      <c r="BO121" s="1295"/>
      <c r="BP121" s="1270"/>
      <c r="BQ121" s="1270"/>
      <c r="BR121" s="1270"/>
      <c r="BS121" s="1270"/>
      <c r="BT121" s="1270"/>
      <c r="BU121" s="1270"/>
      <c r="BV121" s="1270"/>
      <c r="BW121" s="1270"/>
      <c r="BX121" s="1270"/>
      <c r="BY121" s="1270"/>
      <c r="BZ121" s="1270"/>
      <c r="CA121" s="1270"/>
      <c r="CB121" s="1270"/>
      <c r="CC121" s="1270"/>
      <c r="CD121" s="1270"/>
      <c r="CE121" s="1270"/>
      <c r="CF121" s="1270"/>
      <c r="CG121" s="1270"/>
      <c r="CH121" s="1270"/>
      <c r="CI121" s="1270"/>
      <c r="CJ121" s="1270"/>
      <c r="CK121" s="1270"/>
      <c r="CL121" s="1270"/>
    </row>
    <row r="122" spans="1:90" s="275" customFormat="1" hidden="1">
      <c r="A122" s="1927" t="s">
        <v>561</v>
      </c>
      <c r="B122" s="1927"/>
      <c r="C122" s="1203">
        <v>0</v>
      </c>
      <c r="D122" s="1298" t="s">
        <v>557</v>
      </c>
      <c r="E122" s="1293">
        <f>ROUND(IF(D122=Lists!$M$12,'Units&amp;Income'!C122*365,IF('Units&amp;Income'!D122=Lists!$M$13,C122*52,IF(D122=Lists!$M$14,C122*12,IF(D122=Lists!$M$15,C122,"")))),0)</f>
        <v>0</v>
      </c>
      <c r="F122" s="1274">
        <f t="shared" si="159"/>
        <v>0.1</v>
      </c>
      <c r="G122" s="1261">
        <f t="shared" si="158"/>
        <v>0</v>
      </c>
      <c r="H122" s="1294">
        <f>Setup!$R$14</f>
        <v>0.03</v>
      </c>
      <c r="I122" s="1790"/>
      <c r="J122" s="1267"/>
      <c r="K122" s="1265"/>
      <c r="L122" s="1265"/>
      <c r="M122" s="1265"/>
      <c r="N122" s="1265"/>
      <c r="O122" s="1266"/>
      <c r="P122" s="1266"/>
      <c r="Q122" s="1267"/>
      <c r="R122" s="1267"/>
      <c r="S122" s="1267"/>
      <c r="T122" s="1267"/>
      <c r="U122" s="1267"/>
      <c r="V122" s="1266"/>
      <c r="W122" s="1268"/>
      <c r="X122" s="755"/>
      <c r="Y122" s="756"/>
      <c r="Z122" s="756"/>
      <c r="AA122" s="756"/>
      <c r="AB122" s="756"/>
      <c r="AC122" s="757"/>
      <c r="AD122" s="758"/>
      <c r="AE122" s="759"/>
      <c r="AF122" s="759"/>
      <c r="AG122" s="759"/>
      <c r="AH122" s="759"/>
      <c r="AI122" s="759"/>
      <c r="AJ122" s="760"/>
      <c r="AK122" s="761"/>
      <c r="AL122" s="762"/>
      <c r="AM122" s="762"/>
      <c r="AN122" s="762"/>
      <c r="AO122" s="762"/>
      <c r="AP122" s="762"/>
      <c r="AQ122" s="1269"/>
      <c r="AR122" s="763"/>
      <c r="AS122" s="755"/>
      <c r="AT122" s="755"/>
      <c r="AU122" s="755"/>
      <c r="AV122" s="1266"/>
      <c r="AW122" s="1267"/>
      <c r="AX122" s="1791"/>
      <c r="AY122" s="1295"/>
      <c r="AZ122" s="1295"/>
      <c r="BA122" s="1295"/>
      <c r="BB122" s="1296"/>
      <c r="BC122" s="1295"/>
      <c r="BD122" s="1295"/>
      <c r="BE122" s="1295"/>
      <c r="BF122" s="1295"/>
      <c r="BG122" s="1295"/>
      <c r="BH122" s="1297"/>
      <c r="BI122" s="1295"/>
      <c r="BJ122" s="1295"/>
      <c r="BK122" s="1295"/>
      <c r="BL122" s="1295"/>
      <c r="BM122" s="1295"/>
      <c r="BN122" s="1295"/>
      <c r="BO122" s="1295"/>
      <c r="BP122" s="1270"/>
      <c r="BQ122" s="1270"/>
      <c r="BR122" s="1270"/>
      <c r="BS122" s="1270"/>
      <c r="BT122" s="1270"/>
      <c r="BU122" s="1270"/>
      <c r="BV122" s="1270"/>
      <c r="BW122" s="1270"/>
      <c r="BX122" s="1270"/>
      <c r="BY122" s="1270"/>
      <c r="BZ122" s="1270"/>
      <c r="CA122" s="1270"/>
      <c r="CB122" s="1270"/>
      <c r="CC122" s="1270"/>
      <c r="CD122" s="1270"/>
      <c r="CE122" s="1270"/>
      <c r="CF122" s="1270"/>
      <c r="CG122" s="1270"/>
      <c r="CH122" s="1270"/>
      <c r="CI122" s="1270"/>
      <c r="CJ122" s="1270"/>
      <c r="CK122" s="1270"/>
      <c r="CL122" s="1270"/>
    </row>
    <row r="123" spans="1:90" s="275" customFormat="1" hidden="1">
      <c r="A123" s="1927" t="s">
        <v>562</v>
      </c>
      <c r="B123" s="1927"/>
      <c r="C123" s="1258">
        <v>0</v>
      </c>
      <c r="D123" s="1292" t="s">
        <v>557</v>
      </c>
      <c r="E123" s="1293">
        <f>ROUND(IF(D123=Lists!$M$12,'Units&amp;Income'!C123*365,IF('Units&amp;Income'!D123=Lists!$M$13,C123*52,IF(D123=Lists!$M$14,C123*12,IF(D123=Lists!$M$15,C123,"")))),0)</f>
        <v>0</v>
      </c>
      <c r="F123" s="1274">
        <f t="shared" si="159"/>
        <v>0.1</v>
      </c>
      <c r="G123" s="1261">
        <f t="shared" si="158"/>
        <v>0</v>
      </c>
      <c r="H123" s="1294">
        <f>Setup!$R$14</f>
        <v>0.03</v>
      </c>
      <c r="I123" s="1790"/>
      <c r="J123" s="1267"/>
      <c r="K123" s="1265"/>
      <c r="L123" s="1265"/>
      <c r="M123" s="1265"/>
      <c r="N123" s="1265"/>
      <c r="O123" s="1266"/>
      <c r="P123" s="1266"/>
      <c r="Q123" s="1267"/>
      <c r="R123" s="1267"/>
      <c r="S123" s="1267"/>
      <c r="T123" s="1267"/>
      <c r="U123" s="1267"/>
      <c r="V123" s="1266"/>
      <c r="W123" s="1268"/>
      <c r="X123" s="755"/>
      <c r="Y123" s="756"/>
      <c r="Z123" s="756"/>
      <c r="AA123" s="756"/>
      <c r="AB123" s="756"/>
      <c r="AC123" s="757"/>
      <c r="AD123" s="758"/>
      <c r="AE123" s="759"/>
      <c r="AF123" s="759"/>
      <c r="AG123" s="759"/>
      <c r="AH123" s="759"/>
      <c r="AI123" s="759"/>
      <c r="AJ123" s="760"/>
      <c r="AK123" s="761"/>
      <c r="AL123" s="762"/>
      <c r="AM123" s="762"/>
      <c r="AN123" s="762"/>
      <c r="AO123" s="762"/>
      <c r="AP123" s="762"/>
      <c r="AQ123" s="1269"/>
      <c r="AR123" s="763"/>
      <c r="AS123" s="755"/>
      <c r="AT123" s="755"/>
      <c r="AU123" s="755"/>
      <c r="AV123" s="1266"/>
      <c r="AW123" s="1267"/>
      <c r="AX123" s="1791"/>
      <c r="AY123" s="1295"/>
      <c r="AZ123" s="1295"/>
      <c r="BA123" s="1295"/>
      <c r="BB123" s="1296"/>
      <c r="BC123" s="1295"/>
      <c r="BD123" s="1295"/>
      <c r="BE123" s="1295"/>
      <c r="BF123" s="1295"/>
      <c r="BG123" s="1295"/>
      <c r="BH123" s="1297"/>
      <c r="BI123" s="1295"/>
      <c r="BJ123" s="1295"/>
      <c r="BK123" s="1295"/>
      <c r="BL123" s="1295"/>
      <c r="BM123" s="1295"/>
      <c r="BN123" s="1295"/>
      <c r="BO123" s="1295"/>
      <c r="BP123" s="1270"/>
      <c r="BQ123" s="1270"/>
      <c r="BR123" s="1270"/>
      <c r="BS123" s="1270"/>
      <c r="BT123" s="1270"/>
      <c r="BU123" s="1270"/>
      <c r="BV123" s="1270"/>
      <c r="BW123" s="1270"/>
      <c r="BX123" s="1270"/>
      <c r="BY123" s="1270"/>
      <c r="BZ123" s="1270"/>
      <c r="CA123" s="1270"/>
      <c r="CB123" s="1270"/>
      <c r="CC123" s="1270"/>
      <c r="CD123" s="1270"/>
      <c r="CE123" s="1270"/>
      <c r="CF123" s="1270"/>
      <c r="CG123" s="1270"/>
      <c r="CH123" s="1270"/>
      <c r="CI123" s="1270"/>
      <c r="CJ123" s="1270"/>
      <c r="CK123" s="1270"/>
      <c r="CL123" s="1270"/>
    </row>
    <row r="124" spans="1:90" s="275" customFormat="1" hidden="1">
      <c r="A124" s="1927" t="s">
        <v>563</v>
      </c>
      <c r="B124" s="1927"/>
      <c r="C124" s="1203">
        <v>0</v>
      </c>
      <c r="D124" s="1298" t="s">
        <v>557</v>
      </c>
      <c r="E124" s="1293">
        <f>ROUND(IF(D124=Lists!$M$12,'Units&amp;Income'!C124*365,IF('Units&amp;Income'!D124=Lists!$M$13,C124*52,IF(D124=Lists!$M$14,C124*12,IF(D124=Lists!$M$15,C124,"")))),0)</f>
        <v>0</v>
      </c>
      <c r="F124" s="1274">
        <f t="shared" si="159"/>
        <v>0.1</v>
      </c>
      <c r="G124" s="1261">
        <f t="shared" si="158"/>
        <v>0</v>
      </c>
      <c r="H124" s="1294">
        <f>Setup!$R$14</f>
        <v>0.03</v>
      </c>
      <c r="I124" s="1790"/>
      <c r="J124" s="1267"/>
      <c r="K124" s="1265"/>
      <c r="L124" s="1265"/>
      <c r="M124" s="1265"/>
      <c r="N124" s="1265"/>
      <c r="O124" s="1266"/>
      <c r="P124" s="1266"/>
      <c r="Q124" s="1267"/>
      <c r="R124" s="1267"/>
      <c r="S124" s="1267"/>
      <c r="T124" s="1267"/>
      <c r="U124" s="1267"/>
      <c r="V124" s="1266"/>
      <c r="W124" s="1268"/>
      <c r="X124" s="755"/>
      <c r="Y124" s="756"/>
      <c r="Z124" s="756"/>
      <c r="AA124" s="756"/>
      <c r="AB124" s="756"/>
      <c r="AC124" s="757"/>
      <c r="AD124" s="758"/>
      <c r="AE124" s="759"/>
      <c r="AF124" s="759"/>
      <c r="AG124" s="759"/>
      <c r="AH124" s="759"/>
      <c r="AI124" s="759"/>
      <c r="AJ124" s="760"/>
      <c r="AK124" s="761"/>
      <c r="AL124" s="762"/>
      <c r="AM124" s="762"/>
      <c r="AN124" s="762"/>
      <c r="AO124" s="762"/>
      <c r="AP124" s="762"/>
      <c r="AQ124" s="1269"/>
      <c r="AR124" s="763"/>
      <c r="AS124" s="755"/>
      <c r="AT124" s="755"/>
      <c r="AU124" s="755"/>
      <c r="AV124" s="1266"/>
      <c r="AW124" s="1267"/>
      <c r="AX124" s="1791"/>
      <c r="AY124" s="1295"/>
      <c r="AZ124" s="1295"/>
      <c r="BA124" s="1295"/>
      <c r="BB124" s="1296"/>
      <c r="BC124" s="1295"/>
      <c r="BD124" s="1295"/>
      <c r="BE124" s="1295"/>
      <c r="BF124" s="1295"/>
      <c r="BG124" s="1295"/>
      <c r="BH124" s="1297"/>
      <c r="BI124" s="1295"/>
      <c r="BJ124" s="1295"/>
      <c r="BK124" s="1295"/>
      <c r="BL124" s="1295"/>
      <c r="BM124" s="1295"/>
      <c r="BN124" s="1295"/>
      <c r="BO124" s="1295"/>
      <c r="BP124" s="1270"/>
      <c r="BQ124" s="1270"/>
      <c r="BR124" s="1270"/>
      <c r="BS124" s="1270"/>
      <c r="BT124" s="1270"/>
      <c r="BU124" s="1270"/>
      <c r="BV124" s="1270"/>
      <c r="BW124" s="1270"/>
      <c r="BX124" s="1270"/>
      <c r="BY124" s="1270"/>
      <c r="BZ124" s="1270"/>
      <c r="CA124" s="1270"/>
      <c r="CB124" s="1270"/>
      <c r="CC124" s="1270"/>
      <c r="CD124" s="1270"/>
      <c r="CE124" s="1270"/>
      <c r="CF124" s="1270"/>
      <c r="CG124" s="1270"/>
      <c r="CH124" s="1270"/>
      <c r="CI124" s="1270"/>
      <c r="CJ124" s="1270"/>
      <c r="CK124" s="1270"/>
      <c r="CL124" s="1270"/>
    </row>
    <row r="125" spans="1:90" s="275" customFormat="1" hidden="1">
      <c r="A125" s="1927" t="s">
        <v>564</v>
      </c>
      <c r="B125" s="1927"/>
      <c r="C125" s="1258">
        <v>0</v>
      </c>
      <c r="D125" s="1292" t="s">
        <v>557</v>
      </c>
      <c r="E125" s="1293">
        <f>ROUND(IF(D125=Lists!$M$12,'Units&amp;Income'!C125*365,IF('Units&amp;Income'!D125=Lists!$M$13,C125*52,IF(D125=Lists!$M$14,C125*12,IF(D125=Lists!$M$15,C125,"")))),0)</f>
        <v>0</v>
      </c>
      <c r="F125" s="1274">
        <f t="shared" si="159"/>
        <v>0.1</v>
      </c>
      <c r="G125" s="1261">
        <f t="shared" si="158"/>
        <v>0</v>
      </c>
      <c r="H125" s="1294">
        <f>Setup!$R$14</f>
        <v>0.03</v>
      </c>
      <c r="I125" s="1790"/>
      <c r="J125" s="1267"/>
      <c r="K125" s="1265"/>
      <c r="L125" s="1265"/>
      <c r="M125" s="1265"/>
      <c r="N125" s="1265"/>
      <c r="O125" s="1266"/>
      <c r="P125" s="1266"/>
      <c r="Q125" s="1267"/>
      <c r="R125" s="1267"/>
      <c r="S125" s="1267"/>
      <c r="T125" s="1267"/>
      <c r="U125" s="1267"/>
      <c r="V125" s="1266"/>
      <c r="W125" s="1268"/>
      <c r="X125" s="755"/>
      <c r="Y125" s="756"/>
      <c r="Z125" s="756"/>
      <c r="AA125" s="756"/>
      <c r="AB125" s="756"/>
      <c r="AC125" s="757"/>
      <c r="AD125" s="758"/>
      <c r="AE125" s="759"/>
      <c r="AF125" s="759"/>
      <c r="AG125" s="759"/>
      <c r="AH125" s="759"/>
      <c r="AI125" s="759"/>
      <c r="AJ125" s="760"/>
      <c r="AK125" s="761"/>
      <c r="AL125" s="762"/>
      <c r="AM125" s="762"/>
      <c r="AN125" s="762"/>
      <c r="AO125" s="762"/>
      <c r="AP125" s="762"/>
      <c r="AQ125" s="1269"/>
      <c r="AR125" s="763"/>
      <c r="AS125" s="755"/>
      <c r="AT125" s="755"/>
      <c r="AU125" s="755"/>
      <c r="AV125" s="1266"/>
      <c r="AW125" s="1267"/>
      <c r="AX125" s="1791"/>
      <c r="AY125" s="1295"/>
      <c r="AZ125" s="1295"/>
      <c r="BA125" s="1295"/>
      <c r="BB125" s="1296"/>
      <c r="BC125" s="1295"/>
      <c r="BD125" s="1295"/>
      <c r="BE125" s="1295"/>
      <c r="BF125" s="1295"/>
      <c r="BG125" s="1295"/>
      <c r="BH125" s="1297"/>
      <c r="BI125" s="1295"/>
      <c r="BJ125" s="1295"/>
      <c r="BK125" s="1295"/>
      <c r="BL125" s="1295"/>
      <c r="BM125" s="1295"/>
      <c r="BN125" s="1295"/>
      <c r="BO125" s="1295"/>
      <c r="BP125" s="1270"/>
      <c r="BQ125" s="1270"/>
      <c r="BR125" s="1270"/>
      <c r="BS125" s="1270"/>
      <c r="BT125" s="1270"/>
      <c r="BU125" s="1270"/>
      <c r="BV125" s="1270"/>
      <c r="BW125" s="1270"/>
      <c r="BX125" s="1270"/>
      <c r="BY125" s="1270"/>
      <c r="BZ125" s="1270"/>
      <c r="CA125" s="1270"/>
      <c r="CB125" s="1270"/>
      <c r="CC125" s="1270"/>
      <c r="CD125" s="1270"/>
      <c r="CE125" s="1270"/>
      <c r="CF125" s="1270"/>
      <c r="CG125" s="1270"/>
      <c r="CH125" s="1270"/>
      <c r="CI125" s="1270"/>
      <c r="CJ125" s="1270"/>
      <c r="CK125" s="1270"/>
      <c r="CL125" s="1270"/>
    </row>
    <row r="126" spans="1:90" s="275" customFormat="1" hidden="1">
      <c r="A126" s="1927" t="s">
        <v>565</v>
      </c>
      <c r="B126" s="1927"/>
      <c r="C126" s="1203">
        <v>0</v>
      </c>
      <c r="D126" s="1298" t="s">
        <v>557</v>
      </c>
      <c r="E126" s="1293">
        <f>ROUND(IF(D126=Lists!$M$12,'Units&amp;Income'!C126*365,IF('Units&amp;Income'!D126=Lists!$M$13,C126*52,IF(D126=Lists!$M$14,C126*12,IF(D126=Lists!$M$15,C126,"")))),0)</f>
        <v>0</v>
      </c>
      <c r="F126" s="1274">
        <f t="shared" si="159"/>
        <v>0.1</v>
      </c>
      <c r="G126" s="1261">
        <f t="shared" si="158"/>
        <v>0</v>
      </c>
      <c r="H126" s="1294">
        <f>Setup!$R$14</f>
        <v>0.03</v>
      </c>
      <c r="I126" s="1790"/>
      <c r="J126" s="1267"/>
      <c r="K126" s="1265"/>
      <c r="L126" s="1265"/>
      <c r="M126" s="1265"/>
      <c r="N126" s="1265"/>
      <c r="O126" s="1266"/>
      <c r="P126" s="1266"/>
      <c r="Q126" s="1267"/>
      <c r="R126" s="1267"/>
      <c r="S126" s="1267"/>
      <c r="T126" s="1267"/>
      <c r="U126" s="1267"/>
      <c r="V126" s="1266"/>
      <c r="W126" s="1268"/>
      <c r="X126" s="755"/>
      <c r="Y126" s="756"/>
      <c r="Z126" s="756"/>
      <c r="AA126" s="756"/>
      <c r="AB126" s="756"/>
      <c r="AC126" s="757"/>
      <c r="AD126" s="758"/>
      <c r="AE126" s="759"/>
      <c r="AF126" s="759"/>
      <c r="AG126" s="759"/>
      <c r="AH126" s="759"/>
      <c r="AI126" s="759"/>
      <c r="AJ126" s="760"/>
      <c r="AK126" s="761"/>
      <c r="AL126" s="762"/>
      <c r="AM126" s="762"/>
      <c r="AN126" s="762"/>
      <c r="AO126" s="762"/>
      <c r="AP126" s="762"/>
      <c r="AQ126" s="1269"/>
      <c r="AR126" s="763"/>
      <c r="AS126" s="755"/>
      <c r="AT126" s="755"/>
      <c r="AU126" s="755"/>
      <c r="AV126" s="1266"/>
      <c r="AW126" s="1267"/>
      <c r="AX126" s="1791"/>
      <c r="AY126" s="1295"/>
      <c r="AZ126" s="1295"/>
      <c r="BA126" s="1295"/>
      <c r="BB126" s="1296"/>
      <c r="BC126" s="1295"/>
      <c r="BD126" s="1295"/>
      <c r="BE126" s="1295"/>
      <c r="BF126" s="1295"/>
      <c r="BG126" s="1295"/>
      <c r="BH126" s="1297"/>
      <c r="BI126" s="1295"/>
      <c r="BJ126" s="1295"/>
      <c r="BK126" s="1295"/>
      <c r="BL126" s="1295"/>
      <c r="BM126" s="1295"/>
      <c r="BN126" s="1295"/>
      <c r="BO126" s="1295"/>
      <c r="BP126" s="1270"/>
      <c r="BQ126" s="1270"/>
      <c r="BR126" s="1270"/>
      <c r="BS126" s="1270"/>
      <c r="BT126" s="1270"/>
      <c r="BU126" s="1270"/>
      <c r="BV126" s="1270"/>
      <c r="BW126" s="1270"/>
      <c r="BX126" s="1270"/>
      <c r="BY126" s="1270"/>
      <c r="BZ126" s="1270"/>
      <c r="CA126" s="1270"/>
      <c r="CB126" s="1270"/>
      <c r="CC126" s="1270"/>
      <c r="CD126" s="1270"/>
      <c r="CE126" s="1270"/>
      <c r="CF126" s="1270"/>
      <c r="CG126" s="1270"/>
      <c r="CH126" s="1270"/>
      <c r="CI126" s="1270"/>
      <c r="CJ126" s="1270"/>
      <c r="CK126" s="1270"/>
      <c r="CL126" s="1270"/>
    </row>
    <row r="127" spans="1:90" s="275" customFormat="1" hidden="1">
      <c r="A127" s="1927" t="s">
        <v>566</v>
      </c>
      <c r="B127" s="1927"/>
      <c r="C127" s="1258">
        <v>0</v>
      </c>
      <c r="D127" s="1292" t="s">
        <v>557</v>
      </c>
      <c r="E127" s="1293">
        <f>ROUND(IF(D127=Lists!$M$12,'Units&amp;Income'!C127*365,IF('Units&amp;Income'!D127=Lists!$M$13,C127*52,IF(D127=Lists!$M$14,C127*12,IF(D127=Lists!$M$15,C127,"")))),0)</f>
        <v>0</v>
      </c>
      <c r="F127" s="1274">
        <f t="shared" si="159"/>
        <v>0.1</v>
      </c>
      <c r="G127" s="1261">
        <f t="shared" si="158"/>
        <v>0</v>
      </c>
      <c r="H127" s="1294">
        <f>Setup!$R$14</f>
        <v>0.03</v>
      </c>
      <c r="I127" s="1790"/>
      <c r="J127" s="1267"/>
      <c r="K127" s="1265"/>
      <c r="L127" s="1265"/>
      <c r="M127" s="1265"/>
      <c r="N127" s="1265"/>
      <c r="O127" s="1266"/>
      <c r="P127" s="1266"/>
      <c r="Q127" s="1267"/>
      <c r="R127" s="1267"/>
      <c r="S127" s="1267"/>
      <c r="T127" s="1267"/>
      <c r="U127" s="1267"/>
      <c r="V127" s="1266"/>
      <c r="W127" s="1268"/>
      <c r="X127" s="755"/>
      <c r="Y127" s="756"/>
      <c r="Z127" s="756"/>
      <c r="AA127" s="756"/>
      <c r="AB127" s="756"/>
      <c r="AC127" s="757"/>
      <c r="AD127" s="758"/>
      <c r="AE127" s="759"/>
      <c r="AF127" s="759"/>
      <c r="AG127" s="759"/>
      <c r="AH127" s="759"/>
      <c r="AI127" s="759"/>
      <c r="AJ127" s="760"/>
      <c r="AK127" s="761"/>
      <c r="AL127" s="762"/>
      <c r="AM127" s="762"/>
      <c r="AN127" s="762"/>
      <c r="AO127" s="762"/>
      <c r="AP127" s="762"/>
      <c r="AQ127" s="1269"/>
      <c r="AR127" s="763"/>
      <c r="AS127" s="755"/>
      <c r="AT127" s="755"/>
      <c r="AU127" s="755"/>
      <c r="AV127" s="1266"/>
      <c r="AW127" s="1267"/>
      <c r="AX127" s="1791"/>
      <c r="AY127" s="1295"/>
      <c r="AZ127" s="1295"/>
      <c r="BA127" s="1295"/>
      <c r="BB127" s="1296"/>
      <c r="BC127" s="1295"/>
      <c r="BD127" s="1295"/>
      <c r="BE127" s="1295"/>
      <c r="BF127" s="1295"/>
      <c r="BG127" s="1295"/>
      <c r="BH127" s="1297"/>
      <c r="BI127" s="1295"/>
      <c r="BJ127" s="1295"/>
      <c r="BK127" s="1295"/>
      <c r="BL127" s="1295"/>
      <c r="BM127" s="1295"/>
      <c r="BN127" s="1295"/>
      <c r="BO127" s="1295"/>
      <c r="BP127" s="1270"/>
      <c r="BQ127" s="1270"/>
      <c r="BR127" s="1270"/>
      <c r="BS127" s="1270"/>
      <c r="BT127" s="1270"/>
      <c r="BU127" s="1270"/>
      <c r="BV127" s="1270"/>
      <c r="BW127" s="1270"/>
      <c r="BX127" s="1270"/>
      <c r="BY127" s="1270"/>
      <c r="BZ127" s="1270"/>
      <c r="CA127" s="1270"/>
      <c r="CB127" s="1270"/>
      <c r="CC127" s="1270"/>
      <c r="CD127" s="1270"/>
      <c r="CE127" s="1270"/>
      <c r="CF127" s="1270"/>
      <c r="CG127" s="1270"/>
      <c r="CH127" s="1270"/>
      <c r="CI127" s="1270"/>
      <c r="CJ127" s="1270"/>
      <c r="CK127" s="1270"/>
      <c r="CL127" s="1270"/>
    </row>
    <row r="128" spans="1:90" s="276" customFormat="1" collapsed="1">
      <c r="A128" s="1928" t="s">
        <v>567</v>
      </c>
      <c r="B128" s="1929"/>
      <c r="C128" s="1206">
        <f>SUM(C117:C127)</f>
        <v>0</v>
      </c>
      <c r="D128" s="1299"/>
      <c r="E128" s="1206">
        <f>SUM(E117:E127)</f>
        <v>0</v>
      </c>
      <c r="F128" s="1300">
        <f>E128-G128</f>
        <v>0</v>
      </c>
      <c r="G128" s="1206">
        <f>SUM(G117:G127)</f>
        <v>0</v>
      </c>
      <c r="H128" s="1301"/>
      <c r="I128" s="1302"/>
      <c r="J128" s="1303"/>
      <c r="K128" s="1304"/>
      <c r="L128" s="1304"/>
      <c r="M128" s="1304"/>
      <c r="N128" s="1304"/>
      <c r="O128" s="1249"/>
      <c r="P128" s="1249"/>
      <c r="Q128" s="1303"/>
      <c r="R128" s="1303"/>
      <c r="S128" s="1303"/>
      <c r="T128" s="1303"/>
      <c r="U128" s="1303"/>
      <c r="V128" s="1249"/>
      <c r="W128" s="1305"/>
      <c r="X128" s="780"/>
      <c r="Y128" s="781"/>
      <c r="Z128" s="781"/>
      <c r="AA128" s="781"/>
      <c r="AB128" s="781"/>
      <c r="AC128" s="749"/>
      <c r="AD128" s="782"/>
      <c r="AE128" s="783"/>
      <c r="AF128" s="783"/>
      <c r="AG128" s="783"/>
      <c r="AH128" s="783"/>
      <c r="AI128" s="783"/>
      <c r="AJ128" s="753"/>
      <c r="AK128" s="784"/>
      <c r="AL128" s="785"/>
      <c r="AM128" s="785"/>
      <c r="AN128" s="785"/>
      <c r="AO128" s="785"/>
      <c r="AP128" s="785"/>
      <c r="AQ128" s="1253"/>
      <c r="AR128" s="786"/>
      <c r="AS128" s="780"/>
      <c r="AT128" s="780"/>
      <c r="AU128" s="780"/>
      <c r="AV128" s="1249"/>
      <c r="AW128" s="1303"/>
      <c r="AX128" s="1306"/>
      <c r="AY128" s="1307"/>
      <c r="AZ128" s="1307"/>
      <c r="BA128" s="1307"/>
      <c r="BB128" s="1308"/>
      <c r="BC128" s="1307"/>
      <c r="BD128" s="1307"/>
      <c r="BE128" s="1307"/>
      <c r="BF128" s="1307"/>
      <c r="BG128" s="1307"/>
      <c r="BH128" s="1309"/>
      <c r="BI128" s="1307"/>
      <c r="BJ128" s="1307"/>
      <c r="BK128" s="1307"/>
      <c r="BL128" s="1307"/>
      <c r="BM128" s="1307"/>
      <c r="BN128" s="1307"/>
      <c r="BO128" s="1307"/>
      <c r="BP128" s="1286"/>
      <c r="BQ128" s="1286"/>
      <c r="BR128" s="1286"/>
      <c r="BS128" s="1286"/>
      <c r="BT128" s="1286"/>
      <c r="BU128" s="1286"/>
      <c r="BV128" s="1286"/>
      <c r="BW128" s="1286"/>
      <c r="BX128" s="1286"/>
      <c r="BY128" s="1286"/>
      <c r="BZ128" s="1286"/>
      <c r="CA128" s="1286"/>
      <c r="CB128" s="1286"/>
      <c r="CC128" s="1286"/>
      <c r="CD128" s="1286"/>
      <c r="CE128" s="1286"/>
      <c r="CF128" s="1286"/>
      <c r="CG128" s="1286"/>
      <c r="CH128" s="1286"/>
      <c r="CI128" s="1286"/>
      <c r="CJ128" s="1286"/>
      <c r="CK128" s="1286"/>
      <c r="CL128" s="1286"/>
    </row>
    <row r="129" spans="1:60">
      <c r="H129" s="727"/>
      <c r="I129" s="861"/>
      <c r="J129" s="861"/>
      <c r="K129" s="862"/>
      <c r="L129" s="862"/>
      <c r="M129" s="863"/>
      <c r="N129" s="863"/>
      <c r="O129" s="864"/>
      <c r="P129" s="865"/>
      <c r="Q129" s="866"/>
      <c r="R129" s="867"/>
      <c r="S129" s="867"/>
      <c r="T129" s="868"/>
      <c r="U129" s="868"/>
      <c r="V129" s="869"/>
      <c r="W129" s="870"/>
      <c r="X129" s="871"/>
      <c r="Y129" s="872"/>
      <c r="Z129" s="872"/>
      <c r="AA129" s="873"/>
      <c r="AB129" s="873"/>
      <c r="AC129" s="874"/>
      <c r="AD129" s="875"/>
      <c r="AE129" s="876"/>
      <c r="AF129" s="877"/>
      <c r="AG129" s="877"/>
      <c r="AH129" s="878"/>
      <c r="AI129" s="878"/>
      <c r="AJ129" s="879"/>
      <c r="AK129" s="876"/>
      <c r="AL129" s="866"/>
      <c r="AM129" s="867"/>
      <c r="AN129" s="867"/>
      <c r="AO129" s="868"/>
      <c r="AP129" s="868"/>
      <c r="AQ129" s="864"/>
      <c r="AR129" s="866"/>
      <c r="AS129" s="735"/>
      <c r="AT129" s="735"/>
      <c r="AU129" s="735"/>
      <c r="AV129" s="1231"/>
      <c r="AW129" s="68"/>
      <c r="AX129" s="68"/>
    </row>
    <row r="130" spans="1:60" s="278" customFormat="1">
      <c r="A130" s="1310" t="s">
        <v>568</v>
      </c>
      <c r="B130" s="1311"/>
      <c r="C130" s="1311"/>
      <c r="D130" s="1930">
        <f>AW94*12+D113+E128</f>
        <v>0</v>
      </c>
      <c r="E130" s="1931"/>
      <c r="F130" s="1312"/>
      <c r="G130" s="95"/>
      <c r="H130" s="1313"/>
      <c r="I130" s="882"/>
      <c r="J130" s="882"/>
      <c r="K130" s="883"/>
      <c r="L130" s="883"/>
      <c r="M130" s="884"/>
      <c r="N130" s="884"/>
      <c r="O130" s="879"/>
      <c r="P130" s="1313"/>
      <c r="Q130" s="882"/>
      <c r="R130" s="883"/>
      <c r="S130" s="883"/>
      <c r="T130" s="884"/>
      <c r="U130" s="884"/>
      <c r="V130" s="879"/>
      <c r="W130" s="882"/>
      <c r="X130" s="875"/>
      <c r="Y130" s="880"/>
      <c r="Z130" s="880"/>
      <c r="AA130" s="881"/>
      <c r="AB130" s="881"/>
      <c r="AC130" s="874"/>
      <c r="AD130" s="875"/>
      <c r="AE130" s="882"/>
      <c r="AF130" s="883"/>
      <c r="AG130" s="883"/>
      <c r="AH130" s="884"/>
      <c r="AI130" s="741"/>
      <c r="AJ130" s="779"/>
      <c r="AK130" s="885"/>
      <c r="AL130" s="775"/>
      <c r="AM130" s="734"/>
      <c r="AN130" s="734"/>
      <c r="AO130" s="733"/>
      <c r="AP130" s="733"/>
      <c r="AQ130" s="774"/>
      <c r="AR130" s="775"/>
      <c r="AS130" s="745"/>
      <c r="AT130" s="745"/>
      <c r="AU130" s="745"/>
      <c r="AV130" s="885"/>
      <c r="AW130" s="885"/>
      <c r="AX130" s="885"/>
      <c r="AY130" s="1314"/>
      <c r="AZ130" s="1314"/>
      <c r="BA130" s="1314"/>
      <c r="BB130" s="1315"/>
      <c r="BC130" s="1314"/>
      <c r="BD130" s="1314"/>
      <c r="BE130" s="1314"/>
      <c r="BF130" s="1314"/>
      <c r="BG130" s="1314"/>
      <c r="BH130" s="1316"/>
    </row>
    <row r="131" spans="1:60" s="278" customFormat="1">
      <c r="A131" s="1317" t="s">
        <v>569</v>
      </c>
      <c r="B131" s="1318"/>
      <c r="C131" s="1318"/>
      <c r="D131" s="1923" t="str">
        <f>IF(D130=0,"",(D130-D132)/D130)</f>
        <v/>
      </c>
      <c r="E131" s="1924"/>
      <c r="F131" s="1312"/>
      <c r="G131" s="95"/>
      <c r="H131" s="1315"/>
      <c r="I131" s="1319"/>
      <c r="J131" s="882"/>
      <c r="K131" s="883"/>
      <c r="L131" s="883"/>
      <c r="M131" s="884"/>
      <c r="N131" s="884"/>
      <c r="O131" s="879"/>
      <c r="P131" s="1313"/>
      <c r="Q131" s="882"/>
      <c r="R131" s="883"/>
      <c r="S131" s="883"/>
      <c r="T131" s="884"/>
      <c r="U131" s="884"/>
      <c r="V131" s="879"/>
      <c r="W131" s="882"/>
      <c r="X131" s="875"/>
      <c r="Y131" s="880"/>
      <c r="Z131" s="880"/>
      <c r="AA131" s="881"/>
      <c r="AB131" s="881"/>
      <c r="AC131" s="874"/>
      <c r="AD131" s="875"/>
      <c r="AE131" s="882"/>
      <c r="AF131" s="883"/>
      <c r="AG131" s="883"/>
      <c r="AH131" s="884"/>
      <c r="AI131" s="741"/>
      <c r="AJ131" s="779"/>
      <c r="AK131" s="885"/>
      <c r="AL131" s="775"/>
      <c r="AM131" s="734"/>
      <c r="AN131" s="734"/>
      <c r="AO131" s="733"/>
      <c r="AP131" s="733"/>
      <c r="AQ131" s="774"/>
      <c r="AR131" s="775"/>
      <c r="AS131" s="745"/>
      <c r="AT131" s="745"/>
      <c r="AU131" s="745"/>
      <c r="AV131" s="885"/>
      <c r="AW131" s="885"/>
      <c r="AX131" s="885"/>
      <c r="AY131" s="1314"/>
      <c r="AZ131" s="1314"/>
      <c r="BA131" s="1314"/>
      <c r="BB131" s="1315"/>
      <c r="BC131" s="1314"/>
      <c r="BD131" s="1314"/>
      <c r="BE131" s="1314"/>
      <c r="BF131" s="1314"/>
      <c r="BG131" s="1314"/>
      <c r="BH131" s="1316"/>
    </row>
    <row r="132" spans="1:60" s="278" customFormat="1">
      <c r="A132" s="1320" t="s">
        <v>537</v>
      </c>
      <c r="B132" s="1321"/>
      <c r="C132" s="1321"/>
      <c r="D132" s="1925">
        <f>G128+G113+AW98</f>
        <v>0</v>
      </c>
      <c r="E132" s="1926"/>
      <c r="F132" s="266"/>
      <c r="G132" s="95"/>
      <c r="H132" s="279"/>
      <c r="I132" s="888"/>
      <c r="J132" s="886"/>
      <c r="K132" s="887"/>
      <c r="L132" s="887"/>
      <c r="M132" s="741"/>
      <c r="N132" s="741"/>
      <c r="O132" s="779"/>
      <c r="P132" s="885"/>
      <c r="Q132" s="885"/>
      <c r="R132" s="887"/>
      <c r="S132" s="887"/>
      <c r="T132" s="741"/>
      <c r="U132" s="741"/>
      <c r="V132" s="779"/>
      <c r="W132" s="885"/>
      <c r="X132" s="745"/>
      <c r="Y132" s="738"/>
      <c r="Z132" s="738"/>
      <c r="AA132" s="737"/>
      <c r="AB132" s="737"/>
      <c r="AC132" s="778"/>
      <c r="AD132" s="745"/>
      <c r="AE132" s="885"/>
      <c r="AF132" s="887"/>
      <c r="AG132" s="887"/>
      <c r="AH132" s="741"/>
      <c r="AI132" s="741"/>
      <c r="AJ132" s="779"/>
      <c r="AK132" s="885"/>
      <c r="AL132" s="775"/>
      <c r="AM132" s="734"/>
      <c r="AN132" s="734"/>
      <c r="AO132" s="733"/>
      <c r="AP132" s="733"/>
      <c r="AQ132" s="774"/>
      <c r="AR132" s="775"/>
      <c r="AS132" s="745"/>
      <c r="AT132" s="745"/>
      <c r="AU132" s="745"/>
      <c r="AV132" s="885"/>
      <c r="AW132" s="885"/>
      <c r="AX132" s="885"/>
      <c r="AY132" s="1314"/>
      <c r="AZ132" s="1314"/>
      <c r="BA132" s="1314"/>
      <c r="BB132" s="279"/>
      <c r="BC132" s="1314"/>
      <c r="BD132" s="1314"/>
      <c r="BE132" s="1314"/>
      <c r="BF132" s="1314"/>
      <c r="BG132" s="1314"/>
      <c r="BH132" s="1316"/>
    </row>
    <row r="133" spans="1:60">
      <c r="C133" s="1322"/>
      <c r="G133" s="95"/>
      <c r="I133" s="860"/>
      <c r="J133" s="727"/>
      <c r="K133" s="773"/>
      <c r="L133" s="773"/>
      <c r="M133" s="728"/>
      <c r="N133" s="728"/>
      <c r="O133" s="774"/>
      <c r="P133" s="775"/>
      <c r="Q133" s="731"/>
      <c r="R133" s="743"/>
      <c r="S133" s="743"/>
      <c r="T133" s="732"/>
      <c r="U133" s="732"/>
      <c r="V133" s="776"/>
      <c r="W133" s="777"/>
      <c r="X133" s="735"/>
      <c r="Y133" s="744"/>
      <c r="Z133" s="744"/>
      <c r="AA133" s="736"/>
      <c r="AB133" s="736"/>
      <c r="AC133" s="778"/>
      <c r="AD133" s="745"/>
      <c r="AE133" s="739"/>
      <c r="AF133" s="742"/>
      <c r="AG133" s="742"/>
      <c r="AH133" s="740"/>
      <c r="AI133" s="740"/>
      <c r="AJ133" s="779"/>
      <c r="AK133" s="739"/>
      <c r="AL133" s="731"/>
      <c r="AM133" s="743"/>
      <c r="AN133" s="743"/>
      <c r="AO133" s="732"/>
      <c r="AP133" s="732"/>
      <c r="AQ133" s="774"/>
      <c r="AR133" s="731"/>
      <c r="AS133" s="735"/>
      <c r="AT133" s="735"/>
      <c r="AU133" s="735"/>
      <c r="AV133" s="1231"/>
      <c r="AW133" s="68"/>
      <c r="AX133" s="68"/>
    </row>
    <row r="134" spans="1:60">
      <c r="C134" s="96"/>
      <c r="I134" s="860"/>
      <c r="J134" s="727"/>
      <c r="K134" s="773"/>
      <c r="L134" s="773"/>
      <c r="M134" s="728"/>
      <c r="N134" s="728"/>
      <c r="O134" s="774"/>
      <c r="P134" s="775"/>
      <c r="Q134" s="731"/>
      <c r="R134" s="743"/>
      <c r="S134" s="743"/>
      <c r="T134" s="732"/>
      <c r="U134" s="732"/>
      <c r="V134" s="776"/>
      <c r="W134" s="777"/>
      <c r="X134" s="735"/>
      <c r="Y134" s="744"/>
      <c r="Z134" s="744"/>
      <c r="AA134" s="736"/>
      <c r="AB134" s="736"/>
      <c r="AC134" s="778"/>
      <c r="AD134" s="745"/>
      <c r="AE134" s="739"/>
      <c r="AF134" s="742"/>
      <c r="AG134" s="742"/>
      <c r="AH134" s="740"/>
      <c r="AI134" s="740"/>
      <c r="AJ134" s="779"/>
      <c r="AK134" s="739"/>
      <c r="AL134" s="731"/>
      <c r="AM134" s="743"/>
      <c r="AN134" s="743"/>
      <c r="AO134" s="732"/>
      <c r="AP134" s="732"/>
      <c r="AQ134" s="774"/>
      <c r="AR134" s="731"/>
      <c r="AS134" s="735"/>
      <c r="AT134" s="735"/>
      <c r="AU134" s="735"/>
      <c r="AV134" s="1231"/>
      <c r="AW134" s="68"/>
      <c r="AX134" s="68"/>
    </row>
    <row r="135" spans="1:60">
      <c r="I135" s="860"/>
      <c r="J135" s="727"/>
      <c r="K135" s="773"/>
      <c r="L135" s="773"/>
      <c r="M135" s="728"/>
      <c r="N135" s="728"/>
      <c r="O135" s="774"/>
      <c r="P135" s="775"/>
      <c r="Q135" s="731"/>
      <c r="R135" s="743"/>
      <c r="S135" s="743"/>
      <c r="T135" s="732"/>
      <c r="U135" s="732"/>
      <c r="V135" s="776"/>
      <c r="W135" s="777"/>
      <c r="X135" s="735"/>
      <c r="Y135" s="744"/>
      <c r="Z135" s="744"/>
      <c r="AA135" s="736"/>
      <c r="AB135" s="736"/>
      <c r="AC135" s="778"/>
      <c r="AD135" s="745"/>
      <c r="AE135" s="739"/>
      <c r="AF135" s="742"/>
      <c r="AG135" s="742"/>
      <c r="AH135" s="740"/>
      <c r="AI135" s="740"/>
      <c r="AJ135" s="779"/>
      <c r="AK135" s="739"/>
      <c r="AL135" s="731"/>
      <c r="AM135" s="743"/>
      <c r="AN135" s="743"/>
      <c r="AO135" s="732"/>
      <c r="AP135" s="732"/>
      <c r="AQ135" s="774"/>
      <c r="AR135" s="731"/>
      <c r="AS135" s="735"/>
      <c r="AT135" s="735"/>
      <c r="AU135" s="735"/>
      <c r="AV135" s="1231"/>
      <c r="AW135" s="68"/>
      <c r="AX135" s="68"/>
    </row>
    <row r="136" spans="1:60">
      <c r="J136" s="727"/>
      <c r="K136" s="773"/>
      <c r="L136" s="773"/>
      <c r="M136" s="728"/>
      <c r="N136" s="728"/>
      <c r="O136" s="774"/>
      <c r="P136" s="775"/>
      <c r="Q136" s="731"/>
      <c r="R136" s="743"/>
      <c r="S136" s="743"/>
      <c r="T136" s="732"/>
      <c r="U136" s="732"/>
      <c r="V136" s="776"/>
      <c r="W136" s="777"/>
      <c r="X136" s="735"/>
      <c r="Y136" s="744"/>
      <c r="Z136" s="744"/>
      <c r="AA136" s="736"/>
      <c r="AB136" s="736"/>
      <c r="AC136" s="778"/>
      <c r="AD136" s="745"/>
      <c r="AE136" s="739"/>
      <c r="AF136" s="742"/>
      <c r="AG136" s="742"/>
      <c r="AH136" s="740"/>
      <c r="AI136" s="740"/>
      <c r="AJ136" s="779"/>
      <c r="AK136" s="739"/>
      <c r="AL136" s="731"/>
      <c r="AM136" s="743"/>
      <c r="AN136" s="743"/>
      <c r="AO136" s="732"/>
      <c r="AP136" s="732"/>
      <c r="AQ136" s="774"/>
      <c r="AR136" s="731"/>
      <c r="AS136" s="735"/>
      <c r="AT136" s="735"/>
      <c r="AU136" s="735"/>
      <c r="AV136" s="1231"/>
      <c r="AW136" s="68"/>
      <c r="AX136" s="68"/>
    </row>
    <row r="137" spans="1:60">
      <c r="J137" s="727"/>
      <c r="K137" s="773"/>
      <c r="L137" s="773"/>
      <c r="M137" s="728"/>
      <c r="N137" s="728"/>
      <c r="O137" s="774"/>
      <c r="P137" s="775"/>
      <c r="Q137" s="731"/>
      <c r="R137" s="743"/>
      <c r="S137" s="743"/>
      <c r="T137" s="732"/>
      <c r="U137" s="732"/>
      <c r="V137" s="776"/>
      <c r="W137" s="777"/>
      <c r="X137" s="735"/>
      <c r="Y137" s="744"/>
      <c r="Z137" s="744"/>
      <c r="AA137" s="736"/>
      <c r="AB137" s="736"/>
      <c r="AC137" s="778"/>
      <c r="AD137" s="745"/>
      <c r="AE137" s="739"/>
      <c r="AF137" s="742"/>
      <c r="AG137" s="742"/>
      <c r="AH137" s="740"/>
      <c r="AI137" s="740"/>
      <c r="AJ137" s="779"/>
      <c r="AK137" s="739"/>
      <c r="AL137" s="731"/>
      <c r="AM137" s="743"/>
      <c r="AN137" s="743"/>
      <c r="AO137" s="732"/>
      <c r="AP137" s="732"/>
      <c r="AQ137" s="774"/>
      <c r="AR137" s="731"/>
      <c r="AS137" s="735"/>
      <c r="AT137" s="735"/>
      <c r="AU137" s="735"/>
      <c r="AV137" s="1231"/>
      <c r="AW137" s="68"/>
      <c r="AX137" s="68"/>
    </row>
    <row r="138" spans="1:60">
      <c r="J138" s="727"/>
      <c r="K138" s="773"/>
      <c r="L138" s="773"/>
      <c r="M138" s="728"/>
      <c r="N138" s="728"/>
      <c r="O138" s="774"/>
      <c r="P138" s="775"/>
      <c r="Q138" s="731"/>
      <c r="R138" s="743"/>
      <c r="S138" s="743"/>
      <c r="T138" s="732"/>
      <c r="U138" s="732"/>
      <c r="V138" s="776"/>
      <c r="W138" s="777"/>
      <c r="X138" s="735"/>
      <c r="Y138" s="744"/>
      <c r="Z138" s="744"/>
      <c r="AA138" s="736"/>
      <c r="AB138" s="736"/>
      <c r="AC138" s="778"/>
      <c r="AD138" s="745"/>
      <c r="AE138" s="739"/>
      <c r="AF138" s="742"/>
      <c r="AG138" s="742"/>
      <c r="AH138" s="740"/>
      <c r="AI138" s="740"/>
      <c r="AJ138" s="779"/>
      <c r="AK138" s="739"/>
      <c r="AL138" s="731"/>
      <c r="AM138" s="743"/>
      <c r="AN138" s="743"/>
      <c r="AO138" s="732"/>
      <c r="AP138" s="732"/>
      <c r="AQ138" s="774"/>
      <c r="AR138" s="731"/>
      <c r="AS138" s="735"/>
      <c r="AT138" s="735"/>
      <c r="AU138" s="735"/>
      <c r="AV138" s="1231"/>
      <c r="AW138" s="68"/>
      <c r="AX138" s="68"/>
    </row>
    <row r="139" spans="1:60">
      <c r="J139" s="727"/>
      <c r="K139" s="773"/>
      <c r="L139" s="773"/>
      <c r="M139" s="728"/>
      <c r="N139" s="728"/>
      <c r="O139" s="774"/>
      <c r="P139" s="775"/>
      <c r="Q139" s="731"/>
      <c r="R139" s="743"/>
      <c r="S139" s="743"/>
      <c r="T139" s="732"/>
      <c r="U139" s="732"/>
      <c r="V139" s="776"/>
      <c r="W139" s="777"/>
      <c r="X139" s="735"/>
      <c r="Y139" s="744"/>
      <c r="Z139" s="744"/>
      <c r="AA139" s="736"/>
      <c r="AB139" s="736"/>
      <c r="AC139" s="778"/>
      <c r="AD139" s="745"/>
      <c r="AE139" s="739"/>
      <c r="AF139" s="742"/>
      <c r="AG139" s="742"/>
      <c r="AH139" s="740"/>
      <c r="AI139" s="740"/>
      <c r="AJ139" s="779"/>
      <c r="AK139" s="739"/>
      <c r="AL139" s="731"/>
      <c r="AM139" s="743"/>
      <c r="AN139" s="743"/>
      <c r="AO139" s="732"/>
      <c r="AP139" s="732"/>
      <c r="AQ139" s="774"/>
      <c r="AR139" s="731"/>
      <c r="AS139" s="735"/>
      <c r="AT139" s="735"/>
      <c r="AU139" s="735"/>
      <c r="AV139" s="1231"/>
      <c r="AW139" s="68"/>
      <c r="AX139" s="68"/>
    </row>
    <row r="140" spans="1:60">
      <c r="J140" s="727"/>
      <c r="K140" s="773"/>
      <c r="L140" s="773"/>
      <c r="M140" s="728"/>
      <c r="N140" s="728"/>
      <c r="O140" s="774"/>
      <c r="P140" s="775"/>
      <c r="Q140" s="731"/>
      <c r="R140" s="743"/>
      <c r="S140" s="743"/>
      <c r="T140" s="732"/>
      <c r="U140" s="732"/>
      <c r="V140" s="776"/>
      <c r="W140" s="777"/>
      <c r="X140" s="735"/>
      <c r="Y140" s="744"/>
      <c r="Z140" s="744"/>
      <c r="AA140" s="736"/>
      <c r="AB140" s="736"/>
      <c r="AC140" s="778"/>
      <c r="AD140" s="745"/>
      <c r="AE140" s="739"/>
      <c r="AF140" s="742"/>
      <c r="AG140" s="742"/>
      <c r="AH140" s="740"/>
      <c r="AI140" s="740"/>
      <c r="AJ140" s="779"/>
      <c r="AK140" s="739"/>
      <c r="AL140" s="731"/>
      <c r="AM140" s="743"/>
      <c r="AN140" s="743"/>
      <c r="AO140" s="732"/>
      <c r="AP140" s="732"/>
      <c r="AQ140" s="774"/>
      <c r="AR140" s="731"/>
      <c r="AS140" s="735"/>
      <c r="AT140" s="735"/>
      <c r="AU140" s="735"/>
      <c r="AV140" s="1231"/>
      <c r="AW140" s="68"/>
      <c r="AX140" s="68"/>
    </row>
    <row r="141" spans="1:60">
      <c r="J141" s="727"/>
      <c r="K141" s="773"/>
      <c r="L141" s="773"/>
      <c r="M141" s="728"/>
      <c r="N141" s="728"/>
      <c r="O141" s="774"/>
      <c r="P141" s="775"/>
      <c r="Q141" s="731"/>
      <c r="R141" s="743"/>
      <c r="S141" s="743"/>
      <c r="T141" s="732"/>
      <c r="U141" s="732"/>
      <c r="V141" s="776"/>
      <c r="W141" s="777"/>
      <c r="X141" s="735"/>
      <c r="Y141" s="744"/>
      <c r="Z141" s="744"/>
      <c r="AA141" s="736"/>
      <c r="AB141" s="736"/>
      <c r="AC141" s="778"/>
      <c r="AD141" s="745"/>
      <c r="AE141" s="739"/>
      <c r="AF141" s="742"/>
      <c r="AG141" s="742"/>
      <c r="AH141" s="740"/>
      <c r="AI141" s="740"/>
      <c r="AJ141" s="779"/>
      <c r="AK141" s="739"/>
      <c r="AL141" s="731"/>
      <c r="AM141" s="743"/>
      <c r="AN141" s="743"/>
      <c r="AO141" s="732"/>
      <c r="AP141" s="732"/>
      <c r="AQ141" s="774"/>
      <c r="AR141" s="731"/>
      <c r="AS141" s="735"/>
      <c r="AT141" s="735"/>
      <c r="AU141" s="735"/>
      <c r="AV141" s="1231"/>
      <c r="AW141" s="68"/>
      <c r="AX141" s="68"/>
    </row>
    <row r="142" spans="1:60">
      <c r="J142" s="727"/>
      <c r="K142" s="773"/>
      <c r="L142" s="773"/>
      <c r="M142" s="728"/>
      <c r="N142" s="728"/>
      <c r="O142" s="774"/>
      <c r="P142" s="775"/>
      <c r="Q142" s="731"/>
      <c r="R142" s="743"/>
      <c r="S142" s="743"/>
      <c r="T142" s="732"/>
      <c r="U142" s="732"/>
      <c r="V142" s="776"/>
      <c r="W142" s="777"/>
      <c r="X142" s="735"/>
      <c r="Y142" s="744"/>
      <c r="Z142" s="744"/>
      <c r="AA142" s="736"/>
      <c r="AB142" s="736"/>
      <c r="AC142" s="778"/>
      <c r="AD142" s="745"/>
      <c r="AE142" s="739"/>
      <c r="AF142" s="742"/>
      <c r="AG142" s="742"/>
      <c r="AH142" s="740"/>
      <c r="AI142" s="740"/>
      <c r="AJ142" s="779"/>
      <c r="AK142" s="739"/>
      <c r="AL142" s="731"/>
      <c r="AM142" s="743"/>
      <c r="AN142" s="743"/>
      <c r="AO142" s="732"/>
      <c r="AP142" s="732"/>
      <c r="AQ142" s="774"/>
      <c r="AR142" s="731"/>
      <c r="AS142" s="735"/>
      <c r="AT142" s="735"/>
      <c r="AU142" s="735"/>
      <c r="AV142" s="1231"/>
      <c r="AW142" s="68"/>
      <c r="AX142" s="68"/>
    </row>
    <row r="143" spans="1:60">
      <c r="J143" s="727"/>
      <c r="K143" s="773"/>
      <c r="L143" s="773"/>
      <c r="M143" s="728"/>
      <c r="N143" s="728"/>
      <c r="O143" s="774"/>
      <c r="P143" s="775"/>
      <c r="Q143" s="731"/>
      <c r="R143" s="743"/>
      <c r="S143" s="743"/>
      <c r="T143" s="732"/>
      <c r="U143" s="732"/>
      <c r="V143" s="776"/>
      <c r="W143" s="777"/>
      <c r="X143" s="735"/>
      <c r="Y143" s="744"/>
      <c r="Z143" s="744"/>
      <c r="AA143" s="736"/>
      <c r="AB143" s="736"/>
      <c r="AC143" s="778"/>
      <c r="AD143" s="745"/>
      <c r="AE143" s="739"/>
      <c r="AF143" s="742"/>
      <c r="AG143" s="742"/>
      <c r="AH143" s="740"/>
      <c r="AI143" s="740"/>
      <c r="AJ143" s="779"/>
      <c r="AK143" s="739"/>
      <c r="AL143" s="731"/>
      <c r="AM143" s="743"/>
      <c r="AN143" s="743"/>
      <c r="AO143" s="732"/>
      <c r="AP143" s="732"/>
      <c r="AQ143" s="774"/>
      <c r="AR143" s="731"/>
      <c r="AS143" s="735"/>
      <c r="AT143" s="735"/>
      <c r="AU143" s="735"/>
      <c r="AV143" s="1231"/>
      <c r="AW143" s="68"/>
      <c r="AX143" s="68"/>
    </row>
    <row r="144" spans="1:60">
      <c r="J144" s="727"/>
      <c r="K144" s="773"/>
      <c r="L144" s="773"/>
      <c r="M144" s="728"/>
      <c r="N144" s="728"/>
      <c r="O144" s="774"/>
      <c r="P144" s="775"/>
      <c r="Q144" s="731"/>
      <c r="R144" s="743"/>
      <c r="S144" s="743"/>
      <c r="T144" s="732"/>
      <c r="U144" s="732"/>
      <c r="V144" s="776"/>
      <c r="W144" s="777"/>
      <c r="X144" s="735"/>
      <c r="Y144" s="744"/>
      <c r="Z144" s="744"/>
      <c r="AA144" s="736"/>
      <c r="AB144" s="736"/>
      <c r="AC144" s="778"/>
      <c r="AD144" s="745"/>
      <c r="AE144" s="739"/>
      <c r="AF144" s="742"/>
      <c r="AG144" s="742"/>
      <c r="AH144" s="740"/>
      <c r="AI144" s="740"/>
      <c r="AJ144" s="779"/>
      <c r="AK144" s="739"/>
      <c r="AL144" s="731"/>
      <c r="AM144" s="743"/>
      <c r="AN144" s="743"/>
      <c r="AO144" s="732"/>
      <c r="AP144" s="732"/>
      <c r="AQ144" s="774"/>
      <c r="AR144" s="731"/>
      <c r="AS144" s="735"/>
      <c r="AT144" s="735"/>
      <c r="AU144" s="735"/>
      <c r="AV144" s="1231"/>
      <c r="AW144" s="68"/>
      <c r="AX144" s="68"/>
    </row>
    <row r="145" spans="10:50">
      <c r="J145" s="727"/>
      <c r="K145" s="773"/>
      <c r="L145" s="773"/>
      <c r="M145" s="728"/>
      <c r="N145" s="728"/>
      <c r="O145" s="774"/>
      <c r="P145" s="775"/>
      <c r="Q145" s="731"/>
      <c r="R145" s="743"/>
      <c r="S145" s="743"/>
      <c r="T145" s="732"/>
      <c r="U145" s="732"/>
      <c r="V145" s="776"/>
      <c r="W145" s="777"/>
      <c r="X145" s="735"/>
      <c r="Y145" s="744"/>
      <c r="Z145" s="744"/>
      <c r="AA145" s="736"/>
      <c r="AB145" s="736"/>
      <c r="AC145" s="778"/>
      <c r="AD145" s="745"/>
      <c r="AE145" s="739"/>
      <c r="AF145" s="742"/>
      <c r="AG145" s="742"/>
      <c r="AH145" s="740"/>
      <c r="AI145" s="740"/>
      <c r="AJ145" s="779"/>
      <c r="AK145" s="739"/>
      <c r="AL145" s="731"/>
      <c r="AM145" s="743"/>
      <c r="AN145" s="743"/>
      <c r="AO145" s="732"/>
      <c r="AP145" s="732"/>
      <c r="AQ145" s="774"/>
      <c r="AR145" s="731"/>
      <c r="AS145" s="735"/>
      <c r="AT145" s="735"/>
      <c r="AU145" s="735"/>
      <c r="AV145" s="1231"/>
      <c r="AW145" s="68"/>
      <c r="AX145" s="68"/>
    </row>
    <row r="146" spans="10:50">
      <c r="J146" s="727"/>
      <c r="K146" s="773"/>
      <c r="L146" s="773"/>
      <c r="M146" s="728"/>
      <c r="N146" s="728"/>
      <c r="O146" s="774"/>
      <c r="P146" s="775"/>
      <c r="Q146" s="731"/>
      <c r="R146" s="743"/>
      <c r="S146" s="743"/>
      <c r="T146" s="732"/>
      <c r="U146" s="732"/>
      <c r="V146" s="776"/>
      <c r="W146" s="777"/>
      <c r="X146" s="735"/>
      <c r="Y146" s="744"/>
      <c r="Z146" s="744"/>
      <c r="AA146" s="736"/>
      <c r="AB146" s="736"/>
      <c r="AC146" s="778"/>
      <c r="AD146" s="745"/>
      <c r="AE146" s="739"/>
      <c r="AF146" s="742"/>
      <c r="AG146" s="742"/>
      <c r="AH146" s="740"/>
      <c r="AI146" s="740"/>
      <c r="AJ146" s="779"/>
      <c r="AK146" s="739"/>
      <c r="AL146" s="731"/>
      <c r="AM146" s="743"/>
      <c r="AN146" s="743"/>
      <c r="AO146" s="732"/>
      <c r="AP146" s="732"/>
      <c r="AQ146" s="774"/>
      <c r="AR146" s="731"/>
      <c r="AS146" s="735"/>
      <c r="AT146" s="735"/>
      <c r="AU146" s="735"/>
      <c r="AV146" s="1231"/>
      <c r="AW146" s="68"/>
      <c r="AX146" s="68"/>
    </row>
    <row r="147" spans="10:50">
      <c r="J147" s="727"/>
      <c r="K147" s="773"/>
      <c r="L147" s="773"/>
      <c r="M147" s="728"/>
      <c r="N147" s="728"/>
      <c r="O147" s="774"/>
      <c r="P147" s="775"/>
      <c r="Q147" s="731"/>
      <c r="R147" s="743"/>
      <c r="S147" s="743"/>
      <c r="T147" s="732"/>
      <c r="U147" s="732"/>
      <c r="V147" s="776"/>
      <c r="W147" s="777"/>
      <c r="X147" s="735"/>
      <c r="Y147" s="744"/>
      <c r="Z147" s="744"/>
      <c r="AA147" s="736"/>
      <c r="AB147" s="736"/>
      <c r="AC147" s="778"/>
      <c r="AD147" s="745"/>
      <c r="AE147" s="739"/>
      <c r="AF147" s="742"/>
      <c r="AG147" s="742"/>
      <c r="AH147" s="740"/>
      <c r="AI147" s="740"/>
      <c r="AJ147" s="779"/>
      <c r="AK147" s="739"/>
      <c r="AL147" s="731"/>
      <c r="AM147" s="743"/>
      <c r="AN147" s="743"/>
      <c r="AO147" s="732"/>
      <c r="AP147" s="732"/>
      <c r="AQ147" s="774"/>
      <c r="AR147" s="731"/>
      <c r="AS147" s="735"/>
      <c r="AT147" s="735"/>
      <c r="AU147" s="735"/>
      <c r="AV147" s="1231"/>
      <c r="AW147" s="68"/>
      <c r="AX147" s="68"/>
    </row>
    <row r="148" spans="10:50">
      <c r="J148" s="727"/>
      <c r="K148" s="773"/>
      <c r="L148" s="773"/>
      <c r="M148" s="728"/>
      <c r="N148" s="728"/>
      <c r="O148" s="774"/>
      <c r="P148" s="775"/>
      <c r="Q148" s="731"/>
      <c r="R148" s="743"/>
      <c r="S148" s="743"/>
      <c r="T148" s="732"/>
      <c r="U148" s="732"/>
      <c r="V148" s="776"/>
      <c r="W148" s="777"/>
      <c r="X148" s="735"/>
      <c r="Y148" s="744"/>
      <c r="Z148" s="744"/>
      <c r="AA148" s="736"/>
      <c r="AB148" s="736"/>
      <c r="AC148" s="778"/>
      <c r="AD148" s="745"/>
      <c r="AE148" s="739"/>
      <c r="AF148" s="742"/>
      <c r="AG148" s="742"/>
      <c r="AH148" s="740"/>
      <c r="AI148" s="740"/>
      <c r="AJ148" s="779"/>
      <c r="AK148" s="739"/>
      <c r="AL148" s="731"/>
      <c r="AM148" s="743"/>
      <c r="AN148" s="743"/>
      <c r="AO148" s="732"/>
      <c r="AP148" s="732"/>
      <c r="AQ148" s="774"/>
      <c r="AR148" s="731"/>
      <c r="AS148" s="735"/>
      <c r="AT148" s="735"/>
      <c r="AU148" s="735"/>
      <c r="AV148" s="1231"/>
      <c r="AW148" s="68"/>
      <c r="AX148" s="68"/>
    </row>
    <row r="149" spans="10:50">
      <c r="J149" s="727"/>
      <c r="K149" s="773"/>
      <c r="L149" s="773"/>
      <c r="M149" s="728"/>
      <c r="N149" s="728"/>
      <c r="O149" s="774"/>
      <c r="P149" s="775"/>
      <c r="Q149" s="731"/>
      <c r="R149" s="743"/>
      <c r="S149" s="743"/>
      <c r="T149" s="732"/>
      <c r="U149" s="732"/>
      <c r="V149" s="776"/>
      <c r="W149" s="777"/>
      <c r="X149" s="735"/>
      <c r="Y149" s="744"/>
      <c r="Z149" s="744"/>
      <c r="AA149" s="736"/>
      <c r="AB149" s="736"/>
      <c r="AC149" s="778"/>
      <c r="AD149" s="745"/>
      <c r="AE149" s="739"/>
      <c r="AF149" s="742"/>
      <c r="AG149" s="742"/>
      <c r="AH149" s="740"/>
      <c r="AI149" s="740"/>
      <c r="AJ149" s="779"/>
      <c r="AK149" s="739"/>
      <c r="AL149" s="731"/>
      <c r="AM149" s="743"/>
      <c r="AN149" s="743"/>
      <c r="AO149" s="732"/>
      <c r="AP149" s="732"/>
      <c r="AQ149" s="774"/>
      <c r="AR149" s="731"/>
      <c r="AS149" s="735"/>
      <c r="AT149" s="735"/>
      <c r="AU149" s="735"/>
      <c r="AV149" s="1231"/>
      <c r="AW149" s="68"/>
      <c r="AX149" s="68"/>
    </row>
    <row r="150" spans="10:50">
      <c r="J150" s="727"/>
      <c r="K150" s="773"/>
      <c r="L150" s="773"/>
      <c r="M150" s="728"/>
      <c r="N150" s="728"/>
      <c r="O150" s="774"/>
      <c r="P150" s="775"/>
      <c r="Q150" s="731"/>
      <c r="R150" s="743"/>
      <c r="S150" s="743"/>
      <c r="T150" s="732"/>
      <c r="U150" s="732"/>
      <c r="V150" s="776"/>
      <c r="W150" s="777"/>
      <c r="X150" s="735"/>
      <c r="Y150" s="744"/>
      <c r="Z150" s="744"/>
      <c r="AA150" s="736"/>
      <c r="AB150" s="736"/>
      <c r="AC150" s="778"/>
      <c r="AD150" s="745"/>
      <c r="AE150" s="739"/>
      <c r="AF150" s="742"/>
      <c r="AG150" s="742"/>
      <c r="AH150" s="740"/>
      <c r="AI150" s="740"/>
      <c r="AJ150" s="779"/>
      <c r="AK150" s="739"/>
      <c r="AL150" s="731"/>
      <c r="AM150" s="743"/>
      <c r="AN150" s="743"/>
      <c r="AO150" s="732"/>
      <c r="AP150" s="732"/>
      <c r="AQ150" s="774"/>
      <c r="AR150" s="731"/>
      <c r="AS150" s="735"/>
      <c r="AT150" s="735"/>
      <c r="AU150" s="735"/>
      <c r="AV150" s="1231"/>
      <c r="AW150" s="68"/>
      <c r="AX150" s="68"/>
    </row>
    <row r="151" spans="10:50">
      <c r="J151" s="727"/>
      <c r="K151" s="773"/>
      <c r="L151" s="773"/>
      <c r="M151" s="728"/>
      <c r="N151" s="728"/>
      <c r="O151" s="774"/>
      <c r="P151" s="775"/>
      <c r="Q151" s="731"/>
      <c r="R151" s="743"/>
      <c r="S151" s="743"/>
      <c r="T151" s="732"/>
      <c r="U151" s="732"/>
      <c r="V151" s="776"/>
      <c r="W151" s="777"/>
      <c r="X151" s="735"/>
      <c r="Y151" s="744"/>
      <c r="Z151" s="744"/>
      <c r="AA151" s="736"/>
      <c r="AB151" s="736"/>
      <c r="AC151" s="778"/>
      <c r="AD151" s="745"/>
      <c r="AE151" s="739"/>
      <c r="AF151" s="742"/>
      <c r="AG151" s="742"/>
      <c r="AH151" s="740"/>
      <c r="AI151" s="740"/>
      <c r="AJ151" s="779"/>
      <c r="AK151" s="739"/>
      <c r="AL151" s="731"/>
      <c r="AM151" s="743"/>
      <c r="AN151" s="743"/>
      <c r="AO151" s="732"/>
      <c r="AP151" s="732"/>
      <c r="AQ151" s="774"/>
      <c r="AR151" s="731"/>
      <c r="AS151" s="735"/>
      <c r="AT151" s="735"/>
      <c r="AU151" s="735"/>
      <c r="AV151" s="1231"/>
      <c r="AW151" s="68"/>
      <c r="AX151" s="68"/>
    </row>
    <row r="152" spans="10:50">
      <c r="J152" s="727"/>
      <c r="K152" s="773"/>
      <c r="L152" s="773"/>
      <c r="M152" s="728"/>
      <c r="N152" s="728"/>
      <c r="O152" s="774"/>
      <c r="P152" s="775"/>
      <c r="Q152" s="731"/>
      <c r="R152" s="743"/>
      <c r="S152" s="743"/>
      <c r="T152" s="732"/>
      <c r="U152" s="732"/>
      <c r="V152" s="776"/>
      <c r="W152" s="777"/>
      <c r="X152" s="735"/>
      <c r="Y152" s="744"/>
      <c r="Z152" s="744"/>
      <c r="AA152" s="736"/>
      <c r="AB152" s="736"/>
      <c r="AC152" s="778"/>
      <c r="AD152" s="745"/>
      <c r="AE152" s="739"/>
      <c r="AF152" s="742"/>
      <c r="AG152" s="742"/>
      <c r="AH152" s="740"/>
      <c r="AI152" s="740"/>
      <c r="AJ152" s="779"/>
      <c r="AK152" s="739"/>
      <c r="AL152" s="731"/>
      <c r="AM152" s="743"/>
      <c r="AN152" s="743"/>
      <c r="AO152" s="732"/>
      <c r="AP152" s="732"/>
      <c r="AQ152" s="774"/>
      <c r="AR152" s="731"/>
      <c r="AS152" s="735"/>
      <c r="AT152" s="735"/>
      <c r="AU152" s="735"/>
      <c r="AV152" s="1231"/>
      <c r="AW152" s="68"/>
      <c r="AX152" s="68"/>
    </row>
    <row r="153" spans="10:50">
      <c r="J153" s="727"/>
      <c r="K153" s="773"/>
      <c r="L153" s="773"/>
      <c r="M153" s="728"/>
      <c r="N153" s="728"/>
      <c r="O153" s="774"/>
      <c r="P153" s="775"/>
      <c r="Q153" s="731"/>
      <c r="R153" s="743"/>
      <c r="S153" s="743"/>
      <c r="T153" s="732"/>
      <c r="U153" s="732"/>
      <c r="V153" s="776"/>
      <c r="W153" s="777"/>
      <c r="X153" s="735"/>
      <c r="Y153" s="744"/>
      <c r="Z153" s="744"/>
      <c r="AA153" s="736"/>
      <c r="AB153" s="736"/>
      <c r="AC153" s="778"/>
      <c r="AD153" s="745"/>
      <c r="AE153" s="739"/>
      <c r="AF153" s="742"/>
      <c r="AG153" s="742"/>
      <c r="AH153" s="740"/>
      <c r="AI153" s="740"/>
      <c r="AJ153" s="779"/>
      <c r="AK153" s="739"/>
      <c r="AL153" s="731"/>
      <c r="AM153" s="743"/>
      <c r="AN153" s="743"/>
      <c r="AO153" s="732"/>
      <c r="AP153" s="732"/>
      <c r="AQ153" s="774"/>
      <c r="AR153" s="731"/>
      <c r="AS153" s="735"/>
      <c r="AT153" s="735"/>
      <c r="AU153" s="735"/>
      <c r="AV153" s="1231"/>
      <c r="AW153" s="68"/>
      <c r="AX153" s="68"/>
    </row>
    <row r="154" spans="10:50">
      <c r="J154" s="727"/>
      <c r="K154" s="773"/>
      <c r="L154" s="773"/>
      <c r="M154" s="728"/>
      <c r="N154" s="728"/>
      <c r="O154" s="774"/>
      <c r="P154" s="775"/>
      <c r="Q154" s="731"/>
      <c r="R154" s="743"/>
      <c r="S154" s="743"/>
      <c r="T154" s="732"/>
      <c r="U154" s="732"/>
      <c r="V154" s="776"/>
      <c r="W154" s="777"/>
      <c r="X154" s="735"/>
      <c r="Y154" s="744"/>
      <c r="Z154" s="744"/>
      <c r="AA154" s="736"/>
      <c r="AB154" s="736"/>
      <c r="AC154" s="778"/>
      <c r="AD154" s="745"/>
      <c r="AE154" s="739"/>
      <c r="AF154" s="742"/>
      <c r="AG154" s="742"/>
      <c r="AH154" s="740"/>
      <c r="AI154" s="740"/>
      <c r="AJ154" s="779"/>
      <c r="AK154" s="739"/>
      <c r="AL154" s="731"/>
      <c r="AM154" s="743"/>
      <c r="AN154" s="743"/>
      <c r="AO154" s="732"/>
      <c r="AP154" s="732"/>
      <c r="AQ154" s="774"/>
      <c r="AR154" s="731"/>
      <c r="AS154" s="735"/>
      <c r="AT154" s="735"/>
      <c r="AU154" s="735"/>
      <c r="AV154" s="1231"/>
      <c r="AW154" s="68"/>
      <c r="AX154" s="68"/>
    </row>
    <row r="155" spans="10:50">
      <c r="J155" s="727"/>
      <c r="K155" s="773"/>
      <c r="L155" s="773"/>
      <c r="M155" s="728"/>
      <c r="N155" s="728"/>
      <c r="O155" s="774"/>
      <c r="P155" s="775"/>
      <c r="Q155" s="731"/>
      <c r="R155" s="743"/>
      <c r="S155" s="743"/>
      <c r="T155" s="732"/>
      <c r="U155" s="732"/>
      <c r="V155" s="776"/>
      <c r="W155" s="777"/>
      <c r="X155" s="735"/>
      <c r="Y155" s="744"/>
      <c r="Z155" s="744"/>
      <c r="AA155" s="736"/>
      <c r="AB155" s="736"/>
      <c r="AC155" s="778"/>
      <c r="AD155" s="745"/>
      <c r="AE155" s="739"/>
      <c r="AF155" s="742"/>
      <c r="AG155" s="742"/>
      <c r="AH155" s="740"/>
      <c r="AI155" s="740"/>
      <c r="AJ155" s="779"/>
      <c r="AK155" s="739"/>
      <c r="AL155" s="731"/>
      <c r="AM155" s="743"/>
      <c r="AN155" s="743"/>
      <c r="AO155" s="732"/>
      <c r="AP155" s="732"/>
      <c r="AQ155" s="774"/>
      <c r="AR155" s="731"/>
      <c r="AS155" s="735"/>
      <c r="AT155" s="735"/>
      <c r="AU155" s="735"/>
      <c r="AV155" s="1231"/>
      <c r="AW155" s="68"/>
      <c r="AX155" s="68"/>
    </row>
    <row r="156" spans="10:50">
      <c r="J156" s="727"/>
      <c r="K156" s="773"/>
      <c r="L156" s="773"/>
      <c r="M156" s="728"/>
      <c r="N156" s="728"/>
      <c r="O156" s="774"/>
      <c r="P156" s="775"/>
      <c r="Q156" s="731"/>
      <c r="R156" s="743"/>
      <c r="S156" s="743"/>
      <c r="T156" s="732"/>
      <c r="U156" s="732"/>
      <c r="V156" s="776"/>
      <c r="W156" s="777"/>
      <c r="X156" s="735"/>
      <c r="Y156" s="744"/>
      <c r="Z156" s="744"/>
      <c r="AA156" s="736"/>
      <c r="AB156" s="736"/>
      <c r="AC156" s="778"/>
      <c r="AD156" s="745"/>
      <c r="AE156" s="739"/>
      <c r="AF156" s="742"/>
      <c r="AG156" s="742"/>
      <c r="AH156" s="740"/>
      <c r="AI156" s="740"/>
      <c r="AJ156" s="779"/>
      <c r="AK156" s="739"/>
      <c r="AL156" s="731"/>
      <c r="AM156" s="743"/>
      <c r="AN156" s="743"/>
      <c r="AO156" s="732"/>
      <c r="AP156" s="732"/>
      <c r="AQ156" s="774"/>
      <c r="AR156" s="731"/>
      <c r="AS156" s="735"/>
      <c r="AT156" s="735"/>
      <c r="AU156" s="735"/>
      <c r="AV156" s="1231"/>
      <c r="AW156" s="68"/>
      <c r="AX156" s="68"/>
    </row>
    <row r="157" spans="10:50">
      <c r="J157" s="727"/>
      <c r="K157" s="773"/>
      <c r="L157" s="773"/>
      <c r="M157" s="728"/>
      <c r="N157" s="728"/>
      <c r="O157" s="774"/>
      <c r="P157" s="775"/>
      <c r="Q157" s="731"/>
      <c r="R157" s="743"/>
      <c r="S157" s="743"/>
      <c r="T157" s="732"/>
      <c r="U157" s="732"/>
      <c r="V157" s="776"/>
      <c r="W157" s="777"/>
      <c r="X157" s="735"/>
      <c r="Y157" s="744"/>
      <c r="Z157" s="744"/>
      <c r="AA157" s="736"/>
      <c r="AB157" s="736"/>
      <c r="AC157" s="778"/>
      <c r="AD157" s="745"/>
      <c r="AE157" s="739"/>
      <c r="AF157" s="742"/>
      <c r="AG157" s="742"/>
      <c r="AH157" s="740"/>
      <c r="AI157" s="740"/>
      <c r="AJ157" s="779"/>
      <c r="AK157" s="739"/>
      <c r="AL157" s="731"/>
      <c r="AM157" s="743"/>
      <c r="AN157" s="743"/>
      <c r="AO157" s="732"/>
      <c r="AP157" s="732"/>
      <c r="AQ157" s="774"/>
      <c r="AR157" s="731"/>
      <c r="AS157" s="735"/>
      <c r="AT157" s="735"/>
      <c r="AU157" s="735"/>
      <c r="AV157" s="1231"/>
      <c r="AW157" s="68"/>
      <c r="AX157" s="68"/>
    </row>
    <row r="158" spans="10:50">
      <c r="J158" s="727"/>
      <c r="K158" s="773"/>
      <c r="L158" s="773"/>
      <c r="M158" s="728"/>
      <c r="N158" s="728"/>
      <c r="O158" s="774"/>
      <c r="P158" s="775"/>
      <c r="Q158" s="731"/>
      <c r="R158" s="743"/>
      <c r="S158" s="743"/>
      <c r="T158" s="732"/>
      <c r="U158" s="732"/>
      <c r="V158" s="776"/>
      <c r="W158" s="777"/>
      <c r="X158" s="735"/>
      <c r="Y158" s="744"/>
      <c r="Z158" s="744"/>
      <c r="AA158" s="736"/>
      <c r="AB158" s="736"/>
      <c r="AC158" s="778"/>
      <c r="AD158" s="745"/>
      <c r="AE158" s="739"/>
      <c r="AF158" s="742"/>
      <c r="AG158" s="742"/>
      <c r="AH158" s="740"/>
      <c r="AI158" s="740"/>
      <c r="AJ158" s="779"/>
      <c r="AK158" s="739"/>
      <c r="AL158" s="731"/>
      <c r="AM158" s="743"/>
      <c r="AN158" s="743"/>
      <c r="AO158" s="732"/>
      <c r="AP158" s="732"/>
      <c r="AQ158" s="774"/>
      <c r="AR158" s="731"/>
      <c r="AS158" s="735"/>
      <c r="AT158" s="735"/>
      <c r="AU158" s="735"/>
      <c r="AV158" s="1231"/>
      <c r="AW158" s="68"/>
      <c r="AX158" s="68"/>
    </row>
    <row r="159" spans="10:50">
      <c r="J159" s="727"/>
      <c r="K159" s="773"/>
      <c r="L159" s="773"/>
      <c r="M159" s="728"/>
      <c r="N159" s="728"/>
      <c r="O159" s="774"/>
      <c r="P159" s="775"/>
      <c r="Q159" s="731"/>
      <c r="R159" s="743"/>
      <c r="S159" s="743"/>
      <c r="T159" s="732"/>
      <c r="U159" s="732"/>
      <c r="V159" s="776"/>
      <c r="W159" s="777"/>
      <c r="X159" s="735"/>
      <c r="Y159" s="744"/>
      <c r="Z159" s="744"/>
      <c r="AA159" s="736"/>
      <c r="AB159" s="736"/>
      <c r="AC159" s="778"/>
      <c r="AD159" s="745"/>
      <c r="AE159" s="739"/>
      <c r="AF159" s="742"/>
      <c r="AG159" s="742"/>
      <c r="AH159" s="740"/>
      <c r="AI159" s="740"/>
      <c r="AJ159" s="779"/>
      <c r="AK159" s="739"/>
      <c r="AL159" s="731"/>
      <c r="AM159" s="743"/>
      <c r="AN159" s="743"/>
      <c r="AO159" s="732"/>
      <c r="AP159" s="732"/>
      <c r="AQ159" s="774"/>
      <c r="AR159" s="731"/>
      <c r="AS159" s="735"/>
      <c r="AT159" s="735"/>
      <c r="AU159" s="735"/>
      <c r="AV159" s="1231"/>
      <c r="AW159" s="68"/>
      <c r="AX159" s="68"/>
    </row>
    <row r="160" spans="10:50">
      <c r="J160" s="727"/>
      <c r="K160" s="773"/>
      <c r="L160" s="773"/>
      <c r="M160" s="728"/>
      <c r="N160" s="728"/>
      <c r="O160" s="774"/>
      <c r="P160" s="775"/>
      <c r="Q160" s="731"/>
      <c r="R160" s="743"/>
      <c r="S160" s="743"/>
      <c r="T160" s="732"/>
      <c r="U160" s="732"/>
      <c r="V160" s="776"/>
      <c r="W160" s="777"/>
      <c r="X160" s="735"/>
      <c r="Y160" s="744"/>
      <c r="Z160" s="744"/>
      <c r="AA160" s="736"/>
      <c r="AB160" s="736"/>
      <c r="AC160" s="778"/>
      <c r="AD160" s="745"/>
      <c r="AE160" s="739"/>
      <c r="AF160" s="742"/>
      <c r="AG160" s="742"/>
      <c r="AH160" s="740"/>
      <c r="AI160" s="740"/>
      <c r="AJ160" s="779"/>
      <c r="AK160" s="739"/>
      <c r="AL160" s="731"/>
      <c r="AM160" s="743"/>
      <c r="AN160" s="743"/>
      <c r="AO160" s="732"/>
      <c r="AP160" s="732"/>
      <c r="AQ160" s="774"/>
      <c r="AR160" s="731"/>
      <c r="AS160" s="735"/>
      <c r="AT160" s="735"/>
      <c r="AU160" s="735"/>
      <c r="AV160" s="1231"/>
      <c r="AW160" s="68"/>
      <c r="AX160" s="68"/>
    </row>
    <row r="161" spans="10:50">
      <c r="J161" s="727"/>
      <c r="K161" s="773"/>
      <c r="L161" s="773"/>
      <c r="M161" s="728"/>
      <c r="N161" s="728"/>
      <c r="O161" s="774"/>
      <c r="P161" s="775"/>
      <c r="Q161" s="731"/>
      <c r="R161" s="743"/>
      <c r="S161" s="743"/>
      <c r="T161" s="732"/>
      <c r="U161" s="732"/>
      <c r="V161" s="776"/>
      <c r="W161" s="777"/>
      <c r="X161" s="735"/>
      <c r="Y161" s="744"/>
      <c r="Z161" s="744"/>
      <c r="AA161" s="736"/>
      <c r="AB161" s="736"/>
      <c r="AC161" s="778"/>
      <c r="AD161" s="745"/>
      <c r="AE161" s="739"/>
      <c r="AF161" s="742"/>
      <c r="AG161" s="742"/>
      <c r="AH161" s="740"/>
      <c r="AI161" s="740"/>
      <c r="AJ161" s="779"/>
      <c r="AK161" s="739"/>
      <c r="AL161" s="731"/>
      <c r="AM161" s="743"/>
      <c r="AN161" s="743"/>
      <c r="AO161" s="732"/>
      <c r="AP161" s="732"/>
      <c r="AQ161" s="774"/>
      <c r="AR161" s="731"/>
      <c r="AS161" s="735"/>
      <c r="AT161" s="735"/>
      <c r="AU161" s="735"/>
      <c r="AV161" s="1231"/>
      <c r="AW161" s="68"/>
      <c r="AX161" s="68"/>
    </row>
    <row r="162" spans="10:50">
      <c r="J162" s="727"/>
      <c r="K162" s="773"/>
      <c r="L162" s="773"/>
      <c r="M162" s="728"/>
      <c r="N162" s="728"/>
      <c r="O162" s="774"/>
      <c r="P162" s="775"/>
      <c r="Q162" s="731"/>
      <c r="R162" s="743"/>
      <c r="S162" s="743"/>
      <c r="T162" s="732"/>
      <c r="U162" s="732"/>
      <c r="V162" s="776"/>
      <c r="W162" s="777"/>
      <c r="X162" s="735"/>
      <c r="Y162" s="744"/>
      <c r="Z162" s="744"/>
      <c r="AA162" s="736"/>
      <c r="AB162" s="736"/>
      <c r="AC162" s="778"/>
      <c r="AD162" s="745"/>
      <c r="AE162" s="739"/>
      <c r="AF162" s="742"/>
      <c r="AG162" s="742"/>
      <c r="AH162" s="740"/>
      <c r="AI162" s="740"/>
      <c r="AJ162" s="779"/>
      <c r="AK162" s="739"/>
      <c r="AL162" s="731"/>
      <c r="AM162" s="743"/>
      <c r="AN162" s="743"/>
      <c r="AO162" s="732"/>
      <c r="AP162" s="732"/>
      <c r="AQ162" s="774"/>
      <c r="AR162" s="731"/>
      <c r="AS162" s="735"/>
      <c r="AT162" s="735"/>
      <c r="AU162" s="735"/>
      <c r="AV162" s="1231"/>
      <c r="AW162" s="68"/>
      <c r="AX162" s="68"/>
    </row>
  </sheetData>
  <sheetProtection algorithmName="SHA-512" hashValue="T6f0hlDkLiBe7kFUqVdzylSzdgzo3Qv6zhpCe7ICK1E+3MtXQ1SjGjU0GAi9zHs6LrP02vdqtEegur3hRAv1Yg==" saltValue="/I/8Arzi5FTO88aGoUo9xg==" spinCount="100000" sheet="1" objects="1" scenarios="1"/>
  <mergeCells count="30">
    <mergeCell ref="A111:B111"/>
    <mergeCell ref="A7:B7"/>
    <mergeCell ref="AV8:AX8"/>
    <mergeCell ref="A102:B102"/>
    <mergeCell ref="A103:B103"/>
    <mergeCell ref="A104:B104"/>
    <mergeCell ref="A105:B105"/>
    <mergeCell ref="A106:B106"/>
    <mergeCell ref="A107:B107"/>
    <mergeCell ref="A108:B108"/>
    <mergeCell ref="A109:B109"/>
    <mergeCell ref="A110:B110"/>
    <mergeCell ref="A125:B125"/>
    <mergeCell ref="A112:B112"/>
    <mergeCell ref="A113:B113"/>
    <mergeCell ref="A116:B116"/>
    <mergeCell ref="A117:B117"/>
    <mergeCell ref="A118:B118"/>
    <mergeCell ref="A119:B119"/>
    <mergeCell ref="A120:B120"/>
    <mergeCell ref="A121:B121"/>
    <mergeCell ref="A122:B122"/>
    <mergeCell ref="A124:B124"/>
    <mergeCell ref="A123:B123"/>
    <mergeCell ref="D131:E131"/>
    <mergeCell ref="D132:E132"/>
    <mergeCell ref="A126:B126"/>
    <mergeCell ref="A127:B127"/>
    <mergeCell ref="A128:B128"/>
    <mergeCell ref="D130:E130"/>
  </mergeCells>
  <phoneticPr fontId="53" type="noConversion"/>
  <dataValidations count="8">
    <dataValidation type="list" allowBlank="1" sqref="AT8 AF8 Y8 R8 K8 AM8 E79 E65 E51 E37 E93" xr:uid="{00000000-0002-0000-0400-000000000000}">
      <formula1>AMILevels</formula1>
    </dataValidation>
    <dataValidation type="list" allowBlank="1" showInputMessage="1" showErrorMessage="1" promptTitle="FMR" prompt="The Fair Market Rents are activated to &quot;Yes&quot; when either HOME units are identified (Column I)." sqref="F7" xr:uid="{00000000-0002-0000-0400-000001000000}">
      <formula1>YesNo</formula1>
    </dataValidation>
    <dataValidation type="list" allowBlank="1" sqref="A10:A22 A24:A36 A66:A78 A38:A50 A52:A64 A80:A92" xr:uid="{00000000-0002-0000-0400-000002000000}">
      <formula1>BRs</formula1>
    </dataValidation>
    <dataValidation type="list" allowBlank="1" sqref="D117:D127" xr:uid="{00000000-0002-0000-0400-000003000000}">
      <formula1>Periods</formula1>
    </dataValidation>
    <dataValidation allowBlank="1" showInputMessage="1" showErrorMessage="1" promptTitle="Comm. Esc. Rate" prompt="The rate is entered on the Setup Tab, cell R13." sqref="H102:H112" xr:uid="{00000000-0002-0000-0400-000004000000}"/>
    <dataValidation allowBlank="1" showInputMessage="1" showErrorMessage="1" promptTitle="Other Income Escalation Rate" prompt="The rate is entered on the Setup Tab, cell R14." sqref="H117:H127" xr:uid="{00000000-0002-0000-0400-000005000000}"/>
    <dataValidation type="list" allowBlank="1" showInputMessage="1" showErrorMessage="1" promptTitle="LIHTCs?" prompt="The LIHTCs maximum rents will apply when the Rehab/ New Construction LIHTC is activated on the Setup tab (field L8)." sqref="G7" xr:uid="{00000000-0002-0000-0400-000006000000}">
      <formula1>YesNo</formula1>
    </dataValidation>
    <dataValidation type="list" allowBlank="1" showInputMessage="1" showErrorMessage="1" promptTitle="MSA/ FMR Year" prompt="Select the calendar year from the drop down list that both the maximum LIHTCs and/or FMRs will apply. Do not select a year for which data has not been entered on the Max Rents tab." sqref="A7:C7" xr:uid="{00000000-0002-0000-0400-000007000000}">
      <formula1>Year2</formula1>
    </dataValidation>
  </dataValidations>
  <pageMargins left="0.34" right="0.35" top="0.82" bottom="1" header="0.5" footer="0.5"/>
  <pageSetup scale="45" orientation="landscape" horizontalDpi="1200" verticalDpi="1200" r:id="rId1"/>
  <headerFooter alignWithMargins="0">
    <oddHeader xml:space="preserve">&amp;C&amp;14Units and Income&amp;10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34"/>
    <pageSetUpPr fitToPage="1"/>
  </sheetPr>
  <dimension ref="A1:L65"/>
  <sheetViews>
    <sheetView topLeftCell="B1" zoomScale="85" workbookViewId="0">
      <selection activeCell="K14" sqref="K14"/>
    </sheetView>
  </sheetViews>
  <sheetFormatPr defaultColWidth="9.140625" defaultRowHeight="12.75"/>
  <cols>
    <col min="1" max="1" width="5.140625" hidden="1" customWidth="1"/>
    <col min="2" max="2" width="1.7109375" style="286" customWidth="1"/>
    <col min="3" max="3" width="27.7109375" customWidth="1"/>
    <col min="4" max="6" width="10.42578125" hidden="1" customWidth="1"/>
    <col min="7" max="7" width="10.7109375" style="281" customWidth="1"/>
    <col min="8" max="8" width="13.85546875" style="282" customWidth="1"/>
    <col min="9" max="9" width="11.7109375" style="281" customWidth="1"/>
    <col min="10" max="10" width="12.42578125" style="283" customWidth="1"/>
    <col min="11" max="11" width="10.42578125" style="301" customWidth="1"/>
    <col min="12" max="12" width="35.7109375" style="284" customWidth="1"/>
    <col min="13" max="16384" width="9.140625" style="285"/>
  </cols>
  <sheetData>
    <row r="1" spans="1:12">
      <c r="B1" s="287" t="str">
        <f>Deal_Overview!$D$2</f>
        <v>Enter Project Name Here</v>
      </c>
      <c r="C1" s="280"/>
      <c r="D1" s="280"/>
      <c r="E1" s="280"/>
      <c r="F1" s="280"/>
    </row>
    <row r="2" spans="1:12">
      <c r="D2" s="1942" t="s">
        <v>570</v>
      </c>
      <c r="E2" s="1942"/>
      <c r="F2" s="1942"/>
      <c r="G2" s="466"/>
      <c r="H2" s="787"/>
      <c r="I2" s="466"/>
      <c r="J2" s="788"/>
      <c r="K2" s="499"/>
      <c r="L2" s="789"/>
    </row>
    <row r="3" spans="1:12" s="288" customFormat="1" ht="29.25" customHeight="1">
      <c r="A3" s="1323" t="s">
        <v>571</v>
      </c>
      <c r="B3" s="790" t="s">
        <v>572</v>
      </c>
      <c r="C3" s="1324"/>
      <c r="D3" s="1325">
        <f ca="1">E3-1</f>
        <v>2024</v>
      </c>
      <c r="E3" s="1325">
        <f ca="1">F3-1</f>
        <v>2025</v>
      </c>
      <c r="F3" s="1325">
        <f ca="1">Setup!R33-1</f>
        <v>2026</v>
      </c>
      <c r="G3" s="1326" t="s">
        <v>573</v>
      </c>
      <c r="H3" s="1327" t="s">
        <v>274</v>
      </c>
      <c r="I3" s="1326" t="s">
        <v>275</v>
      </c>
      <c r="J3" s="1328" t="s">
        <v>538</v>
      </c>
      <c r="K3" s="1329" t="s">
        <v>276</v>
      </c>
      <c r="L3" s="1330" t="s">
        <v>277</v>
      </c>
    </row>
    <row r="4" spans="1:12">
      <c r="A4">
        <v>200</v>
      </c>
      <c r="B4" s="791"/>
      <c r="C4" s="696" t="s">
        <v>295</v>
      </c>
      <c r="D4" s="694">
        <v>0</v>
      </c>
      <c r="E4" s="694">
        <v>0</v>
      </c>
      <c r="F4" s="694">
        <v>0</v>
      </c>
      <c r="G4" s="695">
        <f>ROUND(IF(I4=Lists!$N$12,Op_Costs!H4,IF(I4=Lists!$N$13,Op_Costs!H4*Deal_Overview!$P$28,IF(Op_Costs!I4=Lists!$N$14,Op_Costs!H4*Deal_Overview!$U$34,""))),0)</f>
        <v>0</v>
      </c>
      <c r="H4" s="792">
        <v>0</v>
      </c>
      <c r="I4" s="692" t="s">
        <v>273</v>
      </c>
      <c r="J4" s="689">
        <f>Setup!$R$34</f>
        <v>0.03</v>
      </c>
      <c r="K4" s="897" t="str">
        <f>IF(Deal_Overview!$V$17=0,"",G4/Deal_Overview!$V$17)</f>
        <v/>
      </c>
      <c r="L4" s="962"/>
    </row>
    <row r="5" spans="1:12">
      <c r="A5">
        <f>A4+1</f>
        <v>201</v>
      </c>
      <c r="B5" s="791"/>
      <c r="C5" s="1331" t="s">
        <v>333</v>
      </c>
      <c r="D5" s="1258">
        <v>0</v>
      </c>
      <c r="E5" s="1258">
        <v>0</v>
      </c>
      <c r="F5" s="1258">
        <v>0</v>
      </c>
      <c r="G5" s="695">
        <f>ROUND(IF(I5=Lists!$N$12,Op_Costs!H5,IF(I5=Lists!$N$13,Op_Costs!H5*Deal_Overview!$P$28,IF(Op_Costs!I5=Lists!$N$14,Op_Costs!H5*Deal_Overview!$U$34,""))),0)</f>
        <v>0</v>
      </c>
      <c r="H5" s="792">
        <v>0</v>
      </c>
      <c r="I5" s="692" t="s">
        <v>273</v>
      </c>
      <c r="J5" s="689">
        <f>Setup!$R$34</f>
        <v>0.03</v>
      </c>
      <c r="K5" s="897" t="str">
        <f>IF(Deal_Overview!$V$17=0,"",G5/Deal_Overview!$V$17)</f>
        <v/>
      </c>
      <c r="L5" s="962"/>
    </row>
    <row r="6" spans="1:12">
      <c r="A6">
        <f t="shared" ref="A6:A12" si="0">A5+1</f>
        <v>202</v>
      </c>
      <c r="B6" s="791"/>
      <c r="C6" s="696" t="s">
        <v>574</v>
      </c>
      <c r="D6" s="694">
        <v>0</v>
      </c>
      <c r="E6" s="694">
        <v>0</v>
      </c>
      <c r="F6" s="694">
        <v>0</v>
      </c>
      <c r="G6" s="695">
        <f>ROUND(IF(I6=Lists!$N$12,Op_Costs!H6,IF(I6=Lists!$N$13,Op_Costs!H6*Deal_Overview!$P$28,IF(Op_Costs!I6=Lists!$N$14,Op_Costs!H6*Deal_Overview!$U$34,""))),0)</f>
        <v>0</v>
      </c>
      <c r="H6" s="792">
        <v>0</v>
      </c>
      <c r="I6" s="692" t="s">
        <v>273</v>
      </c>
      <c r="J6" s="689">
        <f>Setup!$R$34</f>
        <v>0.03</v>
      </c>
      <c r="K6" s="897" t="str">
        <f>IF(Deal_Overview!$V$17=0,"",G6/Deal_Overview!$V$17)</f>
        <v/>
      </c>
      <c r="L6" s="962"/>
    </row>
    <row r="7" spans="1:12">
      <c r="A7">
        <f t="shared" si="0"/>
        <v>203</v>
      </c>
      <c r="B7" s="791"/>
      <c r="C7" s="696" t="s">
        <v>575</v>
      </c>
      <c r="D7" s="694">
        <v>0</v>
      </c>
      <c r="E7" s="694">
        <v>0</v>
      </c>
      <c r="F7" s="694">
        <v>0</v>
      </c>
      <c r="G7" s="695">
        <f>ROUND(IF(I7=Lists!$N$12,Op_Costs!H7,IF(I7=Lists!$N$13,Op_Costs!H7*Deal_Overview!$P$28,IF(Op_Costs!I7=Lists!$N$14,Op_Costs!H7*Deal_Overview!$U$34,""))),0)</f>
        <v>0</v>
      </c>
      <c r="H7" s="792">
        <v>0</v>
      </c>
      <c r="I7" s="692" t="s">
        <v>273</v>
      </c>
      <c r="J7" s="689">
        <f>Setup!$R$34</f>
        <v>0.03</v>
      </c>
      <c r="K7" s="897" t="str">
        <f>IF(Deal_Overview!$V$17=0,"",G7/Deal_Overview!$V$17)</f>
        <v/>
      </c>
      <c r="L7" s="962"/>
    </row>
    <row r="8" spans="1:12">
      <c r="A8">
        <f t="shared" si="0"/>
        <v>204</v>
      </c>
      <c r="B8" s="791"/>
      <c r="C8" s="696" t="s">
        <v>576</v>
      </c>
      <c r="D8" s="694">
        <v>0</v>
      </c>
      <c r="E8" s="694">
        <v>0</v>
      </c>
      <c r="F8" s="694">
        <v>0</v>
      </c>
      <c r="G8" s="695">
        <f>ROUND(IF(I8=Lists!$N$12,Op_Costs!H8,IF(I8=Lists!$N$13,Op_Costs!H8*Deal_Overview!$P$28,IF(Op_Costs!I8=Lists!$N$14,Op_Costs!H8*Deal_Overview!$U$34,""))),0)</f>
        <v>0</v>
      </c>
      <c r="H8" s="792">
        <v>0</v>
      </c>
      <c r="I8" s="692" t="s">
        <v>273</v>
      </c>
      <c r="J8" s="689">
        <f>Setup!$R$34</f>
        <v>0.03</v>
      </c>
      <c r="K8" s="897" t="str">
        <f>IF(Deal_Overview!$V$17=0,"",G8/Deal_Overview!$V$17)</f>
        <v/>
      </c>
      <c r="L8" s="962"/>
    </row>
    <row r="9" spans="1:12">
      <c r="A9">
        <f t="shared" si="0"/>
        <v>205</v>
      </c>
      <c r="B9" s="791"/>
      <c r="C9" s="696" t="s">
        <v>577</v>
      </c>
      <c r="D9" s="694">
        <v>0</v>
      </c>
      <c r="E9" s="694">
        <v>0</v>
      </c>
      <c r="F9" s="694">
        <v>0</v>
      </c>
      <c r="G9" s="695">
        <f>ROUND(IF(I9=Lists!$N$12,Op_Costs!H9,IF(I9=Lists!$N$13,Op_Costs!H9*Deal_Overview!$P$28,IF(Op_Costs!I9=Lists!$N$14,Op_Costs!H9*Deal_Overview!$U$34,""))),0)</f>
        <v>0</v>
      </c>
      <c r="H9" s="792">
        <v>0</v>
      </c>
      <c r="I9" s="692" t="s">
        <v>273</v>
      </c>
      <c r="J9" s="689">
        <f>Setup!$R$34</f>
        <v>0.03</v>
      </c>
      <c r="K9" s="897" t="str">
        <f>IF(Deal_Overview!$V$17=0,"",G9/Deal_Overview!$V$17)</f>
        <v/>
      </c>
      <c r="L9" s="962"/>
    </row>
    <row r="10" spans="1:12">
      <c r="A10">
        <f t="shared" si="0"/>
        <v>206</v>
      </c>
      <c r="B10" s="791"/>
      <c r="C10" s="696" t="s">
        <v>578</v>
      </c>
      <c r="D10" s="694">
        <v>0</v>
      </c>
      <c r="E10" s="694">
        <v>0</v>
      </c>
      <c r="F10" s="694">
        <v>0</v>
      </c>
      <c r="G10" s="695">
        <f>ROUND(IF(I10=Lists!$N$12,Op_Costs!H10,IF(I10=Lists!$N$13,Op_Costs!H10*Deal_Overview!$P$28,IF(Op_Costs!I10=Lists!$N$14,Op_Costs!H10*Deal_Overview!$U$34,""))),0)</f>
        <v>0</v>
      </c>
      <c r="H10" s="792">
        <v>0</v>
      </c>
      <c r="I10" s="692" t="s">
        <v>273</v>
      </c>
      <c r="J10" s="689">
        <f>Setup!$R$34</f>
        <v>0.03</v>
      </c>
      <c r="K10" s="897" t="str">
        <f>IF(Deal_Overview!$V$17=0,"",G10/Deal_Overview!$V$17)</f>
        <v/>
      </c>
      <c r="L10" s="962"/>
    </row>
    <row r="11" spans="1:12">
      <c r="A11">
        <f t="shared" si="0"/>
        <v>207</v>
      </c>
      <c r="B11" s="791"/>
      <c r="C11" s="696" t="s">
        <v>579</v>
      </c>
      <c r="D11" s="694">
        <v>0</v>
      </c>
      <c r="E11" s="694">
        <v>0</v>
      </c>
      <c r="F11" s="694">
        <v>0</v>
      </c>
      <c r="G11" s="695">
        <f>ROUND(IF(I11=Lists!$N$12,Op_Costs!H11,IF(I11=Lists!$N$13,Op_Costs!H11*Deal_Overview!$P$28,IF(Op_Costs!I11=Lists!$N$14,Op_Costs!H11*Deal_Overview!$U$34,""))),0)</f>
        <v>0</v>
      </c>
      <c r="H11" s="792">
        <v>0</v>
      </c>
      <c r="I11" s="692" t="s">
        <v>273</v>
      </c>
      <c r="J11" s="689">
        <f>Setup!$R$34</f>
        <v>0.03</v>
      </c>
      <c r="K11" s="897" t="str">
        <f>IF(Deal_Overview!$V$17=0,"",G11/Deal_Overview!$V$17)</f>
        <v/>
      </c>
      <c r="L11" s="962"/>
    </row>
    <row r="12" spans="1:12">
      <c r="A12">
        <f t="shared" si="0"/>
        <v>208</v>
      </c>
      <c r="B12" s="791"/>
      <c r="C12" s="696" t="s">
        <v>580</v>
      </c>
      <c r="D12" s="694">
        <v>0</v>
      </c>
      <c r="E12" s="694">
        <v>0</v>
      </c>
      <c r="F12" s="694">
        <v>0</v>
      </c>
      <c r="G12" s="695">
        <f>ROUND(IF(I12=Lists!$N$12,Op_Costs!H12,IF(I12=Lists!$N$13,Op_Costs!H12*Deal_Overview!$P$28,IF(Op_Costs!I12=Lists!$N$14,Op_Costs!H12*Deal_Overview!$U$34,""))),0)</f>
        <v>0</v>
      </c>
      <c r="H12" s="792">
        <v>0</v>
      </c>
      <c r="I12" s="692" t="s">
        <v>273</v>
      </c>
      <c r="J12" s="689">
        <f>Setup!$R$34</f>
        <v>0.03</v>
      </c>
      <c r="K12" s="897" t="str">
        <f>IF(Deal_Overview!$V$17=0,"",G12/Deal_Overview!$V$17)</f>
        <v/>
      </c>
      <c r="L12" s="962"/>
    </row>
    <row r="13" spans="1:12" s="293" customFormat="1">
      <c r="A13" s="291"/>
      <c r="B13" s="793" t="s">
        <v>581</v>
      </c>
      <c r="C13" s="697"/>
      <c r="D13" s="691">
        <f>SUM(D4:D12)</f>
        <v>0</v>
      </c>
      <c r="E13" s="691">
        <f>SUM(E4:E12)</f>
        <v>0</v>
      </c>
      <c r="F13" s="691">
        <f>SUM(F4:F12)</f>
        <v>0</v>
      </c>
      <c r="G13" s="691">
        <f>SUM(G4:G12)</f>
        <v>0</v>
      </c>
      <c r="H13" s="292"/>
      <c r="I13" s="693"/>
      <c r="J13" s="690"/>
      <c r="K13" s="691">
        <f>SUM(K4:K12)</f>
        <v>0</v>
      </c>
      <c r="L13" s="719"/>
    </row>
    <row r="14" spans="1:12">
      <c r="A14">
        <f>A12+1</f>
        <v>209</v>
      </c>
      <c r="B14" s="791"/>
      <c r="C14" s="696" t="s">
        <v>582</v>
      </c>
      <c r="D14" s="694">
        <v>0</v>
      </c>
      <c r="E14" s="694">
        <v>0</v>
      </c>
      <c r="F14" s="694">
        <v>0</v>
      </c>
      <c r="G14" s="695">
        <f>ROUND(IF(I14=Lists!$N$12,Op_Costs!H14,IF(I14=Lists!$N$13,Op_Costs!H14*Deal_Overview!$P$28,IF(Op_Costs!I14=Lists!$N$14,Op_Costs!H14*Deal_Overview!$U$34,""))),0)</f>
        <v>0</v>
      </c>
      <c r="H14" s="792">
        <v>0.06</v>
      </c>
      <c r="I14" s="692" t="s">
        <v>583</v>
      </c>
      <c r="J14" s="689">
        <f>Setup!R12</f>
        <v>0.02</v>
      </c>
      <c r="K14" s="897" t="str">
        <f>IF(Deal_Overview!$V$17=0,"",G14/Deal_Overview!$V$17)</f>
        <v/>
      </c>
      <c r="L14" s="962"/>
    </row>
    <row r="15" spans="1:12">
      <c r="A15">
        <f>A14+1</f>
        <v>210</v>
      </c>
      <c r="B15" s="791"/>
      <c r="C15" s="696" t="s">
        <v>584</v>
      </c>
      <c r="D15" s="694">
        <v>0</v>
      </c>
      <c r="E15" s="694">
        <v>0</v>
      </c>
      <c r="F15" s="694">
        <v>0</v>
      </c>
      <c r="G15" s="695">
        <f>ROUND(IF(I15=Lists!$N$12,Op_Costs!H15,IF(I15=Lists!$N$13,Op_Costs!H15*Deal_Overview!$P$28,IF(Op_Costs!I15=Lists!$N$14,Op_Costs!H15*Deal_Overview!$U$34,""))),0)</f>
        <v>0</v>
      </c>
      <c r="H15" s="792">
        <v>0</v>
      </c>
      <c r="I15" s="692" t="s">
        <v>273</v>
      </c>
      <c r="J15" s="689">
        <f>Setup!$R$34</f>
        <v>0.03</v>
      </c>
      <c r="K15" s="897" t="str">
        <f>IF(Deal_Overview!$V$17=0,"",G15/Deal_Overview!$V$17)</f>
        <v/>
      </c>
      <c r="L15" s="962"/>
    </row>
    <row r="16" spans="1:12">
      <c r="A16">
        <f>A15+1</f>
        <v>211</v>
      </c>
      <c r="B16" s="791"/>
      <c r="C16" s="696" t="s">
        <v>585</v>
      </c>
      <c r="D16" s="694">
        <v>0</v>
      </c>
      <c r="E16" s="694">
        <v>0</v>
      </c>
      <c r="F16" s="694">
        <v>0</v>
      </c>
      <c r="G16" s="695">
        <f>ROUND(IF(I16=Lists!$N$12,Op_Costs!H16,IF(I16=Lists!$N$13,Op_Costs!H16*Deal_Overview!$P$28,IF(Op_Costs!I16=Lists!$N$14,Op_Costs!H16*Deal_Overview!$U$34,""))),0)</f>
        <v>0</v>
      </c>
      <c r="H16" s="792">
        <v>0</v>
      </c>
      <c r="I16" s="692" t="s">
        <v>273</v>
      </c>
      <c r="J16" s="689">
        <f>Setup!$R$34</f>
        <v>0.03</v>
      </c>
      <c r="K16" s="897" t="str">
        <f>IF(Deal_Overview!$V$17=0,"",G16/Deal_Overview!$V$17)</f>
        <v/>
      </c>
      <c r="L16" s="962"/>
    </row>
    <row r="17" spans="1:12">
      <c r="A17">
        <f>A16+1</f>
        <v>212</v>
      </c>
      <c r="B17" s="791"/>
      <c r="C17" s="696" t="s">
        <v>586</v>
      </c>
      <c r="D17" s="694">
        <v>0</v>
      </c>
      <c r="E17" s="694">
        <v>0</v>
      </c>
      <c r="F17" s="694">
        <v>0</v>
      </c>
      <c r="G17" s="695">
        <f>ROUND(IF(I17=Lists!$N$12,Op_Costs!H17,IF(I17=Lists!$N$13,Op_Costs!H17*Deal_Overview!$P$28,IF(Op_Costs!I17=Lists!$N$14,Op_Costs!H17*Deal_Overview!$U$34,""))),0)</f>
        <v>0</v>
      </c>
      <c r="H17" s="792">
        <v>0</v>
      </c>
      <c r="I17" s="692" t="s">
        <v>273</v>
      </c>
      <c r="J17" s="689">
        <f>Setup!$R$34</f>
        <v>0.03</v>
      </c>
      <c r="K17" s="897" t="str">
        <f>IF(Deal_Overview!$V$17=0,"",G17/Deal_Overview!$V$17)</f>
        <v/>
      </c>
      <c r="L17" s="962"/>
    </row>
    <row r="18" spans="1:12" s="293" customFormat="1">
      <c r="A18" s="291"/>
      <c r="B18" s="793" t="s">
        <v>587</v>
      </c>
      <c r="C18" s="697"/>
      <c r="D18" s="691">
        <f>SUM(D14:D16)</f>
        <v>0</v>
      </c>
      <c r="E18" s="691">
        <f>SUM(E14:E17)</f>
        <v>0</v>
      </c>
      <c r="F18" s="691">
        <f>SUM(F14:F16)</f>
        <v>0</v>
      </c>
      <c r="G18" s="691">
        <f>SUM(G14:G17)</f>
        <v>0</v>
      </c>
      <c r="H18" s="292"/>
      <c r="I18" s="693"/>
      <c r="J18" s="690"/>
      <c r="K18" s="691">
        <f>SUM(K14:K17)</f>
        <v>0</v>
      </c>
      <c r="L18" s="719"/>
    </row>
    <row r="19" spans="1:12">
      <c r="A19">
        <f>A17+1</f>
        <v>213</v>
      </c>
      <c r="B19" s="791"/>
      <c r="C19" s="696" t="s">
        <v>588</v>
      </c>
      <c r="D19" s="694">
        <v>0</v>
      </c>
      <c r="E19" s="694">
        <v>0</v>
      </c>
      <c r="F19" s="694">
        <v>0</v>
      </c>
      <c r="G19" s="695">
        <f>ROUND(IF(I19=Lists!$N$12,Op_Costs!H19,IF(I19=Lists!$N$13,Op_Costs!H19*Deal_Overview!$P$28,IF(Op_Costs!I19=Lists!$N$14,Op_Costs!H19*Deal_Overview!$U$34,""))),0)</f>
        <v>0</v>
      </c>
      <c r="H19" s="792">
        <v>0</v>
      </c>
      <c r="I19" s="692" t="s">
        <v>273</v>
      </c>
      <c r="J19" s="689">
        <f>Setup!$R$34</f>
        <v>0.03</v>
      </c>
      <c r="K19" s="897" t="str">
        <f>IF(Deal_Overview!$V$17=0,"",G19/Deal_Overview!$V$17)</f>
        <v/>
      </c>
      <c r="L19" s="962"/>
    </row>
    <row r="20" spans="1:12">
      <c r="A20">
        <f>A19+1</f>
        <v>214</v>
      </c>
      <c r="B20" s="791"/>
      <c r="C20" s="696" t="s">
        <v>589</v>
      </c>
      <c r="D20" s="694">
        <v>0</v>
      </c>
      <c r="E20" s="694">
        <v>0</v>
      </c>
      <c r="F20" s="694">
        <v>0</v>
      </c>
      <c r="G20" s="695">
        <f>ROUND(IF(I20=Lists!$N$12,Op_Costs!H20,IF(I20=Lists!$N$13,Op_Costs!H20*Deal_Overview!$P$28,IF(Op_Costs!I20=Lists!$N$14,Op_Costs!H20*Deal_Overview!$U$34,""))),0)</f>
        <v>0</v>
      </c>
      <c r="H20" s="792">
        <v>0</v>
      </c>
      <c r="I20" s="692" t="s">
        <v>273</v>
      </c>
      <c r="J20" s="689">
        <f>Setup!$R$34</f>
        <v>0.03</v>
      </c>
      <c r="K20" s="897" t="str">
        <f>IF(Deal_Overview!$V$17=0,"",G20/Deal_Overview!$V$17)</f>
        <v/>
      </c>
      <c r="L20" s="962"/>
    </row>
    <row r="21" spans="1:12">
      <c r="A21">
        <f>A20+1</f>
        <v>215</v>
      </c>
      <c r="B21" s="791"/>
      <c r="C21" s="696" t="s">
        <v>590</v>
      </c>
      <c r="D21" s="694">
        <v>0</v>
      </c>
      <c r="E21" s="694">
        <v>0</v>
      </c>
      <c r="F21" s="694">
        <v>0</v>
      </c>
      <c r="G21" s="695">
        <f>ROUND(IF(I21=Lists!$N$12,Op_Costs!H21,IF(I21=Lists!$N$13,Op_Costs!H21*Deal_Overview!$P$28,IF(Op_Costs!I21=Lists!$N$14,Op_Costs!H21*Deal_Overview!$U$34,""))),0)</f>
        <v>0</v>
      </c>
      <c r="H21" s="792">
        <v>0</v>
      </c>
      <c r="I21" s="692" t="s">
        <v>273</v>
      </c>
      <c r="J21" s="689">
        <f>Setup!$R$34</f>
        <v>0.03</v>
      </c>
      <c r="K21" s="897" t="str">
        <f>IF(Deal_Overview!$V$17=0,"",G21/Deal_Overview!$V$17)</f>
        <v/>
      </c>
      <c r="L21" s="962"/>
    </row>
    <row r="22" spans="1:12">
      <c r="A22">
        <f>A21+1</f>
        <v>216</v>
      </c>
      <c r="B22" s="791"/>
      <c r="C22" s="696" t="s">
        <v>591</v>
      </c>
      <c r="D22" s="694">
        <v>0</v>
      </c>
      <c r="E22" s="694">
        <v>0</v>
      </c>
      <c r="F22" s="694">
        <v>0</v>
      </c>
      <c r="G22" s="695">
        <f>ROUND(IF(I22=Lists!$N$12,Op_Costs!H22,IF(I22=Lists!$N$13,Op_Costs!H22*Deal_Overview!$P$28,IF(Op_Costs!I22=Lists!$N$14,Op_Costs!H22*Deal_Overview!$U$34,""))),0)</f>
        <v>0</v>
      </c>
      <c r="H22" s="792">
        <v>0</v>
      </c>
      <c r="I22" s="692" t="s">
        <v>273</v>
      </c>
      <c r="J22" s="689">
        <f>Setup!$R$34</f>
        <v>0.03</v>
      </c>
      <c r="K22" s="897" t="str">
        <f>IF(Deal_Overview!$V$17=0,"",G22/Deal_Overview!$V$17)</f>
        <v/>
      </c>
      <c r="L22" s="962"/>
    </row>
    <row r="23" spans="1:12">
      <c r="A23">
        <f>A22+1</f>
        <v>217</v>
      </c>
      <c r="B23" s="791"/>
      <c r="C23" s="696" t="s">
        <v>592</v>
      </c>
      <c r="D23" s="694">
        <v>0</v>
      </c>
      <c r="E23" s="694">
        <v>0</v>
      </c>
      <c r="F23" s="694">
        <v>0</v>
      </c>
      <c r="G23" s="695">
        <f>ROUND(IF(I23=Lists!$N$12,Op_Costs!H23,IF(I23=Lists!$N$13,Op_Costs!H23*Deal_Overview!$P$28,IF(Op_Costs!I23=Lists!$N$14,Op_Costs!H23*Deal_Overview!$U$34,""))),0)</f>
        <v>0</v>
      </c>
      <c r="H23" s="792">
        <v>0</v>
      </c>
      <c r="I23" s="692" t="s">
        <v>273</v>
      </c>
      <c r="J23" s="689">
        <f>Setup!$R$34</f>
        <v>0.03</v>
      </c>
      <c r="K23" s="897" t="str">
        <f>IF(Deal_Overview!$V$17=0,"",G23/Deal_Overview!$V$17)</f>
        <v/>
      </c>
      <c r="L23" s="962"/>
    </row>
    <row r="24" spans="1:12" s="293" customFormat="1">
      <c r="A24" s="291"/>
      <c r="B24" s="793" t="s">
        <v>593</v>
      </c>
      <c r="C24" s="697"/>
      <c r="D24" s="691">
        <f>SUM(D19:D23)</f>
        <v>0</v>
      </c>
      <c r="E24" s="691">
        <f>SUM(E19:E23)</f>
        <v>0</v>
      </c>
      <c r="F24" s="691">
        <f>SUM(F19:F23)</f>
        <v>0</v>
      </c>
      <c r="G24" s="691">
        <f>SUM(G19:G23)</f>
        <v>0</v>
      </c>
      <c r="H24" s="292"/>
      <c r="I24" s="693"/>
      <c r="J24" s="690"/>
      <c r="K24" s="691">
        <f>SUM(K19:K23)</f>
        <v>0</v>
      </c>
      <c r="L24" s="719"/>
    </row>
    <row r="25" spans="1:12">
      <c r="A25">
        <f>A23+1</f>
        <v>218</v>
      </c>
      <c r="B25" s="791"/>
      <c r="C25" s="696" t="s">
        <v>379</v>
      </c>
      <c r="D25" s="694">
        <v>0</v>
      </c>
      <c r="E25" s="694">
        <v>0</v>
      </c>
      <c r="F25" s="694">
        <v>0</v>
      </c>
      <c r="G25" s="695">
        <f>ROUND(IF(I25=Lists!$N$12,Op_Costs!H25,IF(I25=Lists!$N$13,Op_Costs!H25*Deal_Overview!$P$28,IF(Op_Costs!I25=Lists!$N$14,Op_Costs!H25*Deal_Overview!$U$34,""))),0)</f>
        <v>0</v>
      </c>
      <c r="H25" s="792">
        <v>0</v>
      </c>
      <c r="I25" s="692" t="s">
        <v>273</v>
      </c>
      <c r="J25" s="689">
        <f>Setup!$R$34</f>
        <v>0.03</v>
      </c>
      <c r="K25" s="897" t="str">
        <f>IF(Deal_Overview!$V$17=0,"",G25/Deal_Overview!$V$17)</f>
        <v/>
      </c>
      <c r="L25" s="962"/>
    </row>
    <row r="26" spans="1:12">
      <c r="A26">
        <f>A25+1</f>
        <v>219</v>
      </c>
      <c r="B26" s="791"/>
      <c r="C26" s="696" t="s">
        <v>594</v>
      </c>
      <c r="D26" s="694">
        <v>0</v>
      </c>
      <c r="E26" s="694">
        <v>0</v>
      </c>
      <c r="F26" s="694">
        <v>0</v>
      </c>
      <c r="G26" s="695">
        <f>ROUND(IF(I26=Lists!$N$12,Op_Costs!H26,IF(I26=Lists!$N$13,Op_Costs!H26*Deal_Overview!$P$28,IF(Op_Costs!I26=Lists!$N$14,Op_Costs!H26*Deal_Overview!$U$34,""))),0)</f>
        <v>0</v>
      </c>
      <c r="H26" s="792">
        <v>0</v>
      </c>
      <c r="I26" s="692" t="s">
        <v>273</v>
      </c>
      <c r="J26" s="689">
        <f>Setup!$R$34</f>
        <v>0.03</v>
      </c>
      <c r="K26" s="897" t="str">
        <f>IF(Deal_Overview!$V$17=0,"",G26/Deal_Overview!$V$17)</f>
        <v/>
      </c>
      <c r="L26" s="962"/>
    </row>
    <row r="27" spans="1:12">
      <c r="A27">
        <f>A26+1</f>
        <v>220</v>
      </c>
      <c r="B27" s="791"/>
      <c r="C27" s="696" t="s">
        <v>377</v>
      </c>
      <c r="D27" s="694">
        <v>0</v>
      </c>
      <c r="E27" s="694">
        <v>0</v>
      </c>
      <c r="F27" s="694">
        <v>0</v>
      </c>
      <c r="G27" s="695">
        <f>ROUND(IF(I27=Lists!$N$12,Op_Costs!H27,IF(I27=Lists!$N$13,Op_Costs!H27*Deal_Overview!$P$28,IF(Op_Costs!I27=Lists!$N$14,Op_Costs!H27*Deal_Overview!$U$34,""))),0)</f>
        <v>0</v>
      </c>
      <c r="H27" s="792">
        <v>0</v>
      </c>
      <c r="I27" s="692" t="s">
        <v>273</v>
      </c>
      <c r="J27" s="689">
        <f>Setup!$R$34</f>
        <v>0.03</v>
      </c>
      <c r="K27" s="897" t="str">
        <f>IF(Deal_Overview!$V$17=0,"",G27/Deal_Overview!$V$17)</f>
        <v/>
      </c>
      <c r="L27" s="962"/>
    </row>
    <row r="28" spans="1:12">
      <c r="A28">
        <f>A27+1</f>
        <v>221</v>
      </c>
      <c r="B28" s="791"/>
      <c r="C28" s="696" t="s">
        <v>595</v>
      </c>
      <c r="D28" s="694">
        <v>0</v>
      </c>
      <c r="E28" s="694">
        <v>0</v>
      </c>
      <c r="F28" s="694">
        <v>0</v>
      </c>
      <c r="G28" s="695">
        <f>ROUND(IF(I28=Lists!$N$12,Op_Costs!H28,IF(I28=Lists!$N$13,Op_Costs!H28*Deal_Overview!$P$28,IF(Op_Costs!I28=Lists!$N$14,Op_Costs!H28*Deal_Overview!$U$34,""))),0)</f>
        <v>0</v>
      </c>
      <c r="H28" s="792">
        <v>0</v>
      </c>
      <c r="I28" s="692" t="s">
        <v>273</v>
      </c>
      <c r="J28" s="689">
        <f>Setup!$R$34</f>
        <v>0.03</v>
      </c>
      <c r="K28" s="897" t="str">
        <f>IF(Deal_Overview!$V$17=0,"",G28/Deal_Overview!$V$17)</f>
        <v/>
      </c>
      <c r="L28" s="962"/>
    </row>
    <row r="29" spans="1:12" s="293" customFormat="1">
      <c r="A29" s="291"/>
      <c r="B29" s="793" t="s">
        <v>596</v>
      </c>
      <c r="C29" s="697"/>
      <c r="D29" s="691">
        <f>SUM(D25:D28)</f>
        <v>0</v>
      </c>
      <c r="E29" s="691">
        <f>SUM(E25:E28)</f>
        <v>0</v>
      </c>
      <c r="F29" s="691">
        <f>SUM(F25:F28)</f>
        <v>0</v>
      </c>
      <c r="G29" s="691">
        <f>SUM(G25:G28)</f>
        <v>0</v>
      </c>
      <c r="H29" s="292"/>
      <c r="I29" s="693"/>
      <c r="J29" s="690"/>
      <c r="K29" s="691">
        <f>SUM(K25:K28)</f>
        <v>0</v>
      </c>
      <c r="L29" s="719"/>
    </row>
    <row r="30" spans="1:12">
      <c r="A30">
        <f>A28+1</f>
        <v>222</v>
      </c>
      <c r="B30" s="791"/>
      <c r="C30" s="696" t="s">
        <v>597</v>
      </c>
      <c r="D30" s="694">
        <v>0</v>
      </c>
      <c r="E30" s="694">
        <v>0</v>
      </c>
      <c r="F30" s="694">
        <v>0</v>
      </c>
      <c r="G30" s="695">
        <f>ROUND(IF(I30=Lists!$N$12,Op_Costs!H30,IF(I30=Lists!$N$13,Op_Costs!H30*Deal_Overview!$P$28,IF(Op_Costs!I30=Lists!$N$14,Op_Costs!H30*Deal_Overview!$U$34,""))),0)</f>
        <v>0</v>
      </c>
      <c r="H30" s="792">
        <v>0</v>
      </c>
      <c r="I30" s="692" t="s">
        <v>273</v>
      </c>
      <c r="J30" s="689">
        <f>Setup!$R$34</f>
        <v>0.03</v>
      </c>
      <c r="K30" s="897" t="str">
        <f>IF(Deal_Overview!$V$17=0,"",G30/Deal_Overview!$V$17)</f>
        <v/>
      </c>
      <c r="L30" s="962"/>
    </row>
    <row r="31" spans="1:12">
      <c r="A31">
        <f>A30+1</f>
        <v>223</v>
      </c>
      <c r="B31" s="791"/>
      <c r="C31" s="696" t="s">
        <v>598</v>
      </c>
      <c r="D31" s="694">
        <v>0</v>
      </c>
      <c r="E31" s="694">
        <v>0</v>
      </c>
      <c r="F31" s="694">
        <v>0</v>
      </c>
      <c r="G31" s="695">
        <f>ROUND(IF(I31=Lists!$N$12,Op_Costs!H31,IF(I31=Lists!$N$13,Op_Costs!H31*Deal_Overview!$P$28,IF(Op_Costs!I31=Lists!$N$14,Op_Costs!H31*Deal_Overview!$U$34,""))),0)</f>
        <v>0</v>
      </c>
      <c r="H31" s="792">
        <v>0</v>
      </c>
      <c r="I31" s="692" t="s">
        <v>273</v>
      </c>
      <c r="J31" s="689">
        <f>Setup!$R$34</f>
        <v>0.03</v>
      </c>
      <c r="K31" s="897" t="str">
        <f>IF(Deal_Overview!$V$17=0,"",G31/Deal_Overview!$V$17)</f>
        <v/>
      </c>
      <c r="L31" s="962"/>
    </row>
    <row r="32" spans="1:12">
      <c r="A32">
        <f>A31+1</f>
        <v>224</v>
      </c>
      <c r="B32" s="791"/>
      <c r="C32" s="696" t="s">
        <v>599</v>
      </c>
      <c r="D32" s="694">
        <v>0</v>
      </c>
      <c r="E32" s="694">
        <v>0</v>
      </c>
      <c r="F32" s="694">
        <v>0</v>
      </c>
      <c r="G32" s="695">
        <f>ROUND(IF(I32=Lists!$N$12,Op_Costs!H32,IF(I32=Lists!$N$13,Op_Costs!H32*Deal_Overview!$P$28,IF(Op_Costs!I32=Lists!$N$14,Op_Costs!H32*Deal_Overview!$U$34,""))),0)</f>
        <v>0</v>
      </c>
      <c r="H32" s="792">
        <v>0</v>
      </c>
      <c r="I32" s="692" t="s">
        <v>273</v>
      </c>
      <c r="J32" s="689">
        <f>Setup!$R$34</f>
        <v>0.03</v>
      </c>
      <c r="K32" s="897" t="str">
        <f>IF(Deal_Overview!$V$17=0,"",G32/Deal_Overview!$V$17)</f>
        <v/>
      </c>
      <c r="L32" s="962"/>
    </row>
    <row r="33" spans="1:12">
      <c r="A33">
        <f t="shared" ref="A33:A40" si="1">A32+1</f>
        <v>225</v>
      </c>
      <c r="B33" s="791"/>
      <c r="C33" s="696" t="s">
        <v>600</v>
      </c>
      <c r="D33" s="694">
        <v>0</v>
      </c>
      <c r="E33" s="694">
        <v>0</v>
      </c>
      <c r="F33" s="694">
        <v>0</v>
      </c>
      <c r="G33" s="695">
        <f>ROUND(IF(I33=Lists!$N$12,Op_Costs!H33,IF(I33=Lists!$N$13,Op_Costs!H33*Deal_Overview!$P$28,IF(Op_Costs!I33=Lists!$N$14,Op_Costs!H33*Deal_Overview!$U$34,""))),0)</f>
        <v>0</v>
      </c>
      <c r="H33" s="792">
        <v>0</v>
      </c>
      <c r="I33" s="692" t="s">
        <v>273</v>
      </c>
      <c r="J33" s="689">
        <f>Setup!$R$34</f>
        <v>0.03</v>
      </c>
      <c r="K33" s="897" t="str">
        <f>IF(Deal_Overview!$V$17=0,"",G33/Deal_Overview!$V$17)</f>
        <v/>
      </c>
      <c r="L33" s="962"/>
    </row>
    <row r="34" spans="1:12">
      <c r="A34">
        <f t="shared" si="1"/>
        <v>226</v>
      </c>
      <c r="B34" s="791"/>
      <c r="C34" s="696" t="s">
        <v>601</v>
      </c>
      <c r="D34" s="694">
        <v>0</v>
      </c>
      <c r="E34" s="694">
        <v>0</v>
      </c>
      <c r="F34" s="694">
        <v>0</v>
      </c>
      <c r="G34" s="695">
        <f>ROUND(IF(I34=Lists!$N$12,Op_Costs!H34,IF(I34=Lists!$N$13,Op_Costs!H34*Deal_Overview!$P$28,IF(Op_Costs!I34=Lists!$N$14,Op_Costs!H34*Deal_Overview!$U$34,""))),0)</f>
        <v>0</v>
      </c>
      <c r="H34" s="792">
        <v>0</v>
      </c>
      <c r="I34" s="692" t="s">
        <v>273</v>
      </c>
      <c r="J34" s="689">
        <f>Setup!$R$34</f>
        <v>0.03</v>
      </c>
      <c r="K34" s="897" t="str">
        <f>IF(Deal_Overview!$V$17=0,"",G34/Deal_Overview!$V$17)</f>
        <v/>
      </c>
      <c r="L34" s="962"/>
    </row>
    <row r="35" spans="1:12">
      <c r="A35">
        <f t="shared" si="1"/>
        <v>227</v>
      </c>
      <c r="B35" s="791"/>
      <c r="C35" s="696" t="s">
        <v>602</v>
      </c>
      <c r="D35" s="694">
        <v>0</v>
      </c>
      <c r="E35" s="694">
        <v>0</v>
      </c>
      <c r="F35" s="694">
        <v>0</v>
      </c>
      <c r="G35" s="695">
        <f>ROUND(IF(I35=Lists!$N$12,Op_Costs!H35,IF(I35=Lists!$N$13,Op_Costs!H35*Deal_Overview!$P$28,IF(Op_Costs!I35=Lists!$N$14,Op_Costs!H35*Deal_Overview!$U$34,""))),0)</f>
        <v>0</v>
      </c>
      <c r="H35" s="792">
        <v>0</v>
      </c>
      <c r="I35" s="692" t="s">
        <v>273</v>
      </c>
      <c r="J35" s="689">
        <f>Setup!$R$34</f>
        <v>0.03</v>
      </c>
      <c r="K35" s="897" t="str">
        <f>IF(Deal_Overview!$V$17=0,"",G35/Deal_Overview!$V$17)</f>
        <v/>
      </c>
      <c r="L35" s="962"/>
    </row>
    <row r="36" spans="1:12">
      <c r="A36">
        <f t="shared" si="1"/>
        <v>228</v>
      </c>
      <c r="B36" s="791"/>
      <c r="C36" s="696" t="s">
        <v>311</v>
      </c>
      <c r="D36" s="694">
        <v>0</v>
      </c>
      <c r="E36" s="694">
        <v>0</v>
      </c>
      <c r="F36" s="694">
        <v>0</v>
      </c>
      <c r="G36" s="695">
        <f>ROUND(IF(I36=Lists!$N$12,Op_Costs!H36,IF(I36=Lists!$N$13,Op_Costs!H36*Deal_Overview!$P$28,IF(Op_Costs!I36=Lists!$N$14,Op_Costs!H36*Deal_Overview!$U$34,""))),0)</f>
        <v>0</v>
      </c>
      <c r="H36" s="792">
        <v>0</v>
      </c>
      <c r="I36" s="692" t="s">
        <v>273</v>
      </c>
      <c r="J36" s="689">
        <f>Setup!$R$34</f>
        <v>0.03</v>
      </c>
      <c r="K36" s="897" t="str">
        <f>IF(Deal_Overview!$V$17=0,"",G36/Deal_Overview!$V$17)</f>
        <v/>
      </c>
      <c r="L36" s="962"/>
    </row>
    <row r="37" spans="1:12">
      <c r="A37">
        <f t="shared" si="1"/>
        <v>229</v>
      </c>
      <c r="B37" s="791"/>
      <c r="C37" s="696" t="s">
        <v>294</v>
      </c>
      <c r="D37" s="694">
        <v>0</v>
      </c>
      <c r="E37" s="694">
        <v>0</v>
      </c>
      <c r="F37" s="694">
        <v>0</v>
      </c>
      <c r="G37" s="695">
        <f>ROUND(IF(I37=Lists!$N$12,Op_Costs!H37,IF(I37=Lists!$N$13,Op_Costs!H37*Deal_Overview!$P$28,IF(Op_Costs!I37=Lists!$N$14,Op_Costs!H37*Deal_Overview!$U$34,""))),0)</f>
        <v>0</v>
      </c>
      <c r="H37" s="792">
        <v>0</v>
      </c>
      <c r="I37" s="692" t="s">
        <v>273</v>
      </c>
      <c r="J37" s="689">
        <f>Setup!$R$34</f>
        <v>0.03</v>
      </c>
      <c r="K37" s="897" t="str">
        <f>IF(Deal_Overview!$V$17=0,"",G37/Deal_Overview!$V$17)</f>
        <v/>
      </c>
      <c r="L37" s="962"/>
    </row>
    <row r="38" spans="1:12">
      <c r="A38">
        <f t="shared" si="1"/>
        <v>230</v>
      </c>
      <c r="B38" s="791"/>
      <c r="C38" s="696" t="s">
        <v>603</v>
      </c>
      <c r="D38" s="694">
        <v>0</v>
      </c>
      <c r="E38" s="694">
        <v>0</v>
      </c>
      <c r="F38" s="694">
        <v>0</v>
      </c>
      <c r="G38" s="695">
        <f>ROUND(IF(I38=Lists!$N$12,Op_Costs!H38,IF(I38=Lists!$N$13,Op_Costs!H38*Deal_Overview!$P$28,IF(Op_Costs!I38=Lists!$N$14,Op_Costs!H38*Deal_Overview!$U$34,""))),0)</f>
        <v>0</v>
      </c>
      <c r="H38" s="792">
        <v>0</v>
      </c>
      <c r="I38" s="692" t="s">
        <v>273</v>
      </c>
      <c r="J38" s="689">
        <f>Setup!$R$34</f>
        <v>0.03</v>
      </c>
      <c r="K38" s="897" t="str">
        <f>IF(Deal_Overview!$V$17=0,"",G38/Deal_Overview!$V$17)</f>
        <v/>
      </c>
      <c r="L38" s="962"/>
    </row>
    <row r="39" spans="1:12">
      <c r="A39">
        <f t="shared" si="1"/>
        <v>231</v>
      </c>
      <c r="B39" s="791"/>
      <c r="C39" s="696" t="s">
        <v>604</v>
      </c>
      <c r="D39" s="694">
        <v>0</v>
      </c>
      <c r="E39" s="694">
        <v>0</v>
      </c>
      <c r="F39" s="694">
        <v>0</v>
      </c>
      <c r="G39" s="695">
        <f>ROUND(IF(I39=Lists!$N$12,Op_Costs!H39,IF(I39=Lists!$N$13,Op_Costs!H39*Deal_Overview!$P$28,IF(Op_Costs!I39=Lists!$N$14,Op_Costs!H39*Deal_Overview!$U$34,""))),0)</f>
        <v>0</v>
      </c>
      <c r="H39" s="792">
        <v>0</v>
      </c>
      <c r="I39" s="692" t="s">
        <v>273</v>
      </c>
      <c r="J39" s="689">
        <f>Setup!$R$34</f>
        <v>0.03</v>
      </c>
      <c r="K39" s="897" t="str">
        <f>IF(Deal_Overview!$V$17=0,"",G39/Deal_Overview!$V$17)</f>
        <v/>
      </c>
      <c r="L39" s="962"/>
    </row>
    <row r="40" spans="1:12">
      <c r="A40">
        <f t="shared" si="1"/>
        <v>232</v>
      </c>
      <c r="B40" s="791"/>
      <c r="C40" s="696" t="s">
        <v>605</v>
      </c>
      <c r="D40" s="694">
        <v>0</v>
      </c>
      <c r="E40" s="694">
        <v>0</v>
      </c>
      <c r="F40" s="694">
        <v>0</v>
      </c>
      <c r="G40" s="695">
        <f>ROUND(IF(I40=Lists!$N$12,Op_Costs!H40,IF(I40=Lists!$N$13,Op_Costs!H40*Deal_Overview!$P$28,IF(Op_Costs!I40=Lists!$N$14,Op_Costs!H40*Deal_Overview!$U$34,""))),0)</f>
        <v>0</v>
      </c>
      <c r="H40" s="792">
        <v>0</v>
      </c>
      <c r="I40" s="692" t="s">
        <v>273</v>
      </c>
      <c r="J40" s="689">
        <f>Setup!$R$34</f>
        <v>0.03</v>
      </c>
      <c r="K40" s="897" t="str">
        <f>IF(Deal_Overview!$V$17=0,"",G40/Deal_Overview!$V$17)</f>
        <v/>
      </c>
      <c r="L40" s="962"/>
    </row>
    <row r="41" spans="1:12" s="293" customFormat="1">
      <c r="A41" s="291"/>
      <c r="B41" s="793" t="s">
        <v>606</v>
      </c>
      <c r="C41" s="697"/>
      <c r="D41" s="691">
        <f>SUM(D30:D40)</f>
        <v>0</v>
      </c>
      <c r="E41" s="691">
        <f>SUM(E30:E40)</f>
        <v>0</v>
      </c>
      <c r="F41" s="691">
        <f>SUM(F30:F40)</f>
        <v>0</v>
      </c>
      <c r="G41" s="691">
        <f>SUM(G30:G40)</f>
        <v>0</v>
      </c>
      <c r="H41" s="292"/>
      <c r="I41" s="693"/>
      <c r="J41" s="690"/>
      <c r="K41" s="691">
        <f>SUM(K30:K40)</f>
        <v>0</v>
      </c>
      <c r="L41" s="719"/>
    </row>
    <row r="42" spans="1:12">
      <c r="A42">
        <f>A40+1</f>
        <v>233</v>
      </c>
      <c r="B42" s="791"/>
      <c r="C42" s="696" t="s">
        <v>607</v>
      </c>
      <c r="D42" s="694">
        <v>0</v>
      </c>
      <c r="E42" s="694">
        <v>0</v>
      </c>
      <c r="F42" s="694">
        <v>0</v>
      </c>
      <c r="G42" s="695">
        <f>ROUND(IF(I42=Lists!$N$12,Op_Costs!H42,IF(I42=Lists!$N$13,Op_Costs!H42*Deal_Overview!$P$28,IF(Op_Costs!I42=Lists!$N$14,Op_Costs!H42*Deal_Overview!$U$34,""))),0)</f>
        <v>0</v>
      </c>
      <c r="H42" s="792">
        <v>0</v>
      </c>
      <c r="I42" s="692" t="s">
        <v>273</v>
      </c>
      <c r="J42" s="689">
        <f>Setup!$R$34</f>
        <v>0.03</v>
      </c>
      <c r="K42" s="897" t="str">
        <f>IF(Deal_Overview!$V$17=0,"",G42/Deal_Overview!$V$17)</f>
        <v/>
      </c>
      <c r="L42" s="962"/>
    </row>
    <row r="43" spans="1:12">
      <c r="A43">
        <f t="shared" ref="A43:A48" si="2">A42+1</f>
        <v>234</v>
      </c>
      <c r="B43" s="791"/>
      <c r="C43" s="696" t="s">
        <v>608</v>
      </c>
      <c r="D43" s="694">
        <v>0</v>
      </c>
      <c r="E43" s="694">
        <v>0</v>
      </c>
      <c r="F43" s="694">
        <v>0</v>
      </c>
      <c r="G43" s="695">
        <f>ROUND(IF(I43=Lists!$N$12,Op_Costs!H43,IF(I43=Lists!$N$13,Op_Costs!H43*Deal_Overview!$P$28,IF(Op_Costs!I43=Lists!$N$14,Op_Costs!H43*Deal_Overview!$U$34,""))),0)</f>
        <v>0</v>
      </c>
      <c r="H43" s="792">
        <v>0</v>
      </c>
      <c r="I43" s="692" t="s">
        <v>273</v>
      </c>
      <c r="J43" s="689">
        <f>Setup!$R$34</f>
        <v>0.03</v>
      </c>
      <c r="K43" s="897" t="str">
        <f>IF(Deal_Overview!$V$17=0,"",G43/Deal_Overview!$V$17)</f>
        <v/>
      </c>
      <c r="L43" s="962"/>
    </row>
    <row r="44" spans="1:12">
      <c r="A44">
        <f t="shared" si="2"/>
        <v>235</v>
      </c>
      <c r="B44" s="791"/>
      <c r="C44" s="696" t="s">
        <v>609</v>
      </c>
      <c r="D44" s="694">
        <v>0</v>
      </c>
      <c r="E44" s="694">
        <v>0</v>
      </c>
      <c r="F44" s="694">
        <v>0</v>
      </c>
      <c r="G44" s="695">
        <f>ROUND(IF(I44=Lists!$N$12,Op_Costs!H44,IF(I44=Lists!$N$13,Op_Costs!H44*Deal_Overview!$P$28,IF(Op_Costs!I44=Lists!$N$14,Op_Costs!H44*Deal_Overview!$U$34,""))),0)</f>
        <v>0</v>
      </c>
      <c r="H44" s="792">
        <v>0</v>
      </c>
      <c r="I44" s="692" t="s">
        <v>273</v>
      </c>
      <c r="J44" s="689">
        <f>Setup!$R$34</f>
        <v>0.03</v>
      </c>
      <c r="K44" s="897" t="str">
        <f>IF(Deal_Overview!$V$17=0,"",G44/Deal_Overview!$V$17)</f>
        <v/>
      </c>
      <c r="L44" s="962"/>
    </row>
    <row r="45" spans="1:12">
      <c r="A45">
        <f t="shared" si="2"/>
        <v>236</v>
      </c>
      <c r="B45" s="791"/>
      <c r="C45" s="696" t="s">
        <v>610</v>
      </c>
      <c r="D45" s="694">
        <v>0</v>
      </c>
      <c r="E45" s="694">
        <v>0</v>
      </c>
      <c r="F45" s="694">
        <v>0</v>
      </c>
      <c r="G45" s="695">
        <f>ROUND(IF(I45=Lists!$N$12,Op_Costs!H45,IF(I45=Lists!$N$13,Op_Costs!H45*Deal_Overview!$P$28,IF(Op_Costs!I45=Lists!$N$14,Op_Costs!H45*Deal_Overview!$U$34,""))),0)</f>
        <v>0</v>
      </c>
      <c r="H45" s="792">
        <v>0</v>
      </c>
      <c r="I45" s="692" t="s">
        <v>273</v>
      </c>
      <c r="J45" s="689">
        <f>Setup!$R$34</f>
        <v>0.03</v>
      </c>
      <c r="K45" s="897" t="str">
        <f>IF(Deal_Overview!$V$17=0,"",G45/Deal_Overview!$V$17)</f>
        <v/>
      </c>
      <c r="L45" s="962"/>
    </row>
    <row r="46" spans="1:12">
      <c r="A46">
        <f t="shared" si="2"/>
        <v>237</v>
      </c>
      <c r="B46" s="791"/>
      <c r="C46" s="696" t="s">
        <v>611</v>
      </c>
      <c r="D46" s="694">
        <v>0</v>
      </c>
      <c r="E46" s="694">
        <v>0</v>
      </c>
      <c r="F46" s="694">
        <v>0</v>
      </c>
      <c r="G46" s="695">
        <f>ROUND(IF(I46=Lists!$N$12,Op_Costs!H46,IF(I46=Lists!$N$13,Op_Costs!H46*Deal_Overview!$P$28,IF(Op_Costs!I46=Lists!$N$14,Op_Costs!H46*Deal_Overview!$U$34,""))),0)</f>
        <v>0</v>
      </c>
      <c r="H46" s="792">
        <v>0</v>
      </c>
      <c r="I46" s="692" t="s">
        <v>273</v>
      </c>
      <c r="J46" s="689">
        <f>Setup!$R$34</f>
        <v>0.03</v>
      </c>
      <c r="K46" s="897" t="str">
        <f>IF(Deal_Overview!$V$17=0,"",G46/Deal_Overview!$V$17)</f>
        <v/>
      </c>
      <c r="L46" s="962"/>
    </row>
    <row r="47" spans="1:12">
      <c r="A47">
        <f t="shared" si="2"/>
        <v>238</v>
      </c>
      <c r="B47" s="791"/>
      <c r="C47" s="696" t="s">
        <v>612</v>
      </c>
      <c r="D47" s="694">
        <v>0</v>
      </c>
      <c r="E47" s="694">
        <v>0</v>
      </c>
      <c r="F47" s="694">
        <v>0</v>
      </c>
      <c r="G47" s="695">
        <f>ROUND(IF(I47=Lists!$N$12,Op_Costs!H47,IF(I47=Lists!$N$13,Op_Costs!H47*Deal_Overview!$P$28,IF(Op_Costs!I47=Lists!$N$14,Op_Costs!H47*Deal_Overview!$U$34,""))),0)</f>
        <v>0</v>
      </c>
      <c r="H47" s="792">
        <v>0</v>
      </c>
      <c r="I47" s="692" t="s">
        <v>273</v>
      </c>
      <c r="J47" s="689">
        <f>Setup!$R$34</f>
        <v>0.03</v>
      </c>
      <c r="K47" s="897" t="str">
        <f>IF(Deal_Overview!$V$17=0,"",G47/Deal_Overview!$V$17)</f>
        <v/>
      </c>
      <c r="L47" s="962"/>
    </row>
    <row r="48" spans="1:12">
      <c r="A48">
        <f t="shared" si="2"/>
        <v>239</v>
      </c>
      <c r="B48" s="791"/>
      <c r="C48" s="696" t="s">
        <v>613</v>
      </c>
      <c r="D48" s="694">
        <v>0</v>
      </c>
      <c r="E48" s="694">
        <v>0</v>
      </c>
      <c r="F48" s="694">
        <v>0</v>
      </c>
      <c r="G48" s="695">
        <f>ROUND(IF(I48=Lists!$N$12,Op_Costs!H48,IF(I48=Lists!$N$13,Op_Costs!H48*Deal_Overview!$P$28,IF(Op_Costs!I48=Lists!$N$14,Op_Costs!H48*Deal_Overview!$U$34,""))),0)</f>
        <v>0</v>
      </c>
      <c r="H48" s="792">
        <v>0</v>
      </c>
      <c r="I48" s="692" t="s">
        <v>273</v>
      </c>
      <c r="J48" s="689">
        <f>Setup!$R$34</f>
        <v>0.03</v>
      </c>
      <c r="K48" s="897" t="str">
        <f>IF(Deal_Overview!$V$17=0,"",G48/Deal_Overview!$V$17)</f>
        <v/>
      </c>
      <c r="L48" s="962"/>
    </row>
    <row r="49" spans="1:12" s="293" customFormat="1">
      <c r="A49" s="291"/>
      <c r="B49" s="793" t="s">
        <v>614</v>
      </c>
      <c r="C49" s="697"/>
      <c r="D49" s="691">
        <f>SUM(D42:D48)</f>
        <v>0</v>
      </c>
      <c r="E49" s="691">
        <f>SUM(E42:E48)</f>
        <v>0</v>
      </c>
      <c r="F49" s="691">
        <f>SUM(F42:F48)</f>
        <v>0</v>
      </c>
      <c r="G49" s="691">
        <f>SUM(G42:G48)</f>
        <v>0</v>
      </c>
      <c r="H49" s="292"/>
      <c r="I49" s="693"/>
      <c r="J49" s="690"/>
      <c r="K49" s="691">
        <f>SUM(K42:K48)</f>
        <v>0</v>
      </c>
      <c r="L49" s="719"/>
    </row>
    <row r="50" spans="1:12">
      <c r="A50">
        <f>A48+1</f>
        <v>240</v>
      </c>
      <c r="B50" s="791"/>
      <c r="C50" s="696" t="s">
        <v>615</v>
      </c>
      <c r="D50" s="694">
        <v>0</v>
      </c>
      <c r="E50" s="694">
        <v>0</v>
      </c>
      <c r="F50" s="694">
        <v>0</v>
      </c>
      <c r="G50" s="695">
        <f>ROUND(IF(I50=Lists!$N$12,Op_Costs!H50,IF(I50=Lists!$N$13,Op_Costs!H50*Deal_Overview!$P$28,IF(Op_Costs!I50=Lists!$N$14,Op_Costs!H50*Deal_Overview!$U$34,""))),0)</f>
        <v>0</v>
      </c>
      <c r="H50" s="792">
        <v>0</v>
      </c>
      <c r="I50" s="692" t="s">
        <v>273</v>
      </c>
      <c r="J50" s="689">
        <f>Setup!$R$34</f>
        <v>0.03</v>
      </c>
      <c r="K50" s="897" t="str">
        <f>IF(Deal_Overview!$V$17=0,"",G50/Deal_Overview!$V$17)</f>
        <v/>
      </c>
      <c r="L50" s="962"/>
    </row>
    <row r="51" spans="1:12">
      <c r="A51">
        <f>A50+1</f>
        <v>241</v>
      </c>
      <c r="B51" s="791"/>
      <c r="C51" s="696" t="s">
        <v>244</v>
      </c>
      <c r="D51" s="694">
        <v>0</v>
      </c>
      <c r="E51" s="694">
        <v>0</v>
      </c>
      <c r="F51" s="694">
        <v>0</v>
      </c>
      <c r="G51" s="695">
        <f>ROUND(IF(I51=Lists!$N$12,Op_Costs!H51,IF(I51=Lists!$N$13,Op_Costs!H51*Deal_Overview!$P$28,IF(Op_Costs!I51=Lists!$N$14,Op_Costs!H51*Deal_Overview!$U$34,""))),0)</f>
        <v>0</v>
      </c>
      <c r="H51" s="792">
        <v>0</v>
      </c>
      <c r="I51" s="692" t="s">
        <v>273</v>
      </c>
      <c r="J51" s="689">
        <f>Setup!$R$34</f>
        <v>0.03</v>
      </c>
      <c r="K51" s="897" t="str">
        <f>IF(Deal_Overview!$V$17=0,"",G51/Deal_Overview!$V$17)</f>
        <v/>
      </c>
      <c r="L51" s="962"/>
    </row>
    <row r="52" spans="1:12">
      <c r="A52">
        <f>A51+1</f>
        <v>242</v>
      </c>
      <c r="B52" s="791"/>
      <c r="C52" s="696" t="s">
        <v>249</v>
      </c>
      <c r="D52" s="694">
        <v>0</v>
      </c>
      <c r="E52" s="694">
        <v>0</v>
      </c>
      <c r="F52" s="694">
        <v>0</v>
      </c>
      <c r="G52" s="695">
        <f>ROUND(IF(I52=Lists!$N$12,Op_Costs!H52,IF(I52=Lists!$N$13,Op_Costs!H52*Deal_Overview!$P$28,IF(Op_Costs!I52=Lists!$N$14,Op_Costs!H52*Deal_Overview!$U$34,""))),0)</f>
        <v>0</v>
      </c>
      <c r="H52" s="792">
        <v>0</v>
      </c>
      <c r="I52" s="692" t="s">
        <v>273</v>
      </c>
      <c r="J52" s="689">
        <f>Setup!$R$34</f>
        <v>0.03</v>
      </c>
      <c r="K52" s="897" t="str">
        <f>IF(Deal_Overview!$V$17=0,"",G52/Deal_Overview!$V$17)</f>
        <v/>
      </c>
      <c r="L52" s="962"/>
    </row>
    <row r="53" spans="1:12">
      <c r="A53">
        <f>A52+1</f>
        <v>243</v>
      </c>
      <c r="B53" s="791"/>
      <c r="C53" s="696" t="s">
        <v>616</v>
      </c>
      <c r="D53" s="694">
        <v>0</v>
      </c>
      <c r="E53" s="694">
        <v>0</v>
      </c>
      <c r="F53" s="694">
        <v>0</v>
      </c>
      <c r="G53" s="695">
        <f>ROUND(IF(I53=Lists!$N$12,Op_Costs!H53,IF(I53=Lists!$N$13,Op_Costs!H53*Deal_Overview!$P$28,IF(Op_Costs!I53=Lists!$N$14,Op_Costs!H53*Deal_Overview!$U$34,""))),0)</f>
        <v>0</v>
      </c>
      <c r="H53" s="792">
        <v>0</v>
      </c>
      <c r="I53" s="692" t="s">
        <v>273</v>
      </c>
      <c r="J53" s="689">
        <f>Setup!$R$34</f>
        <v>0.03</v>
      </c>
      <c r="K53" s="897" t="str">
        <f>IF(Deal_Overview!$V$17=0,"",G53/Deal_Overview!$V$17)</f>
        <v/>
      </c>
      <c r="L53" s="962"/>
    </row>
    <row r="54" spans="1:12" s="293" customFormat="1">
      <c r="A54" s="291"/>
      <c r="B54" s="793" t="s">
        <v>617</v>
      </c>
      <c r="C54" s="697"/>
      <c r="D54" s="691">
        <f>SUM(D50:D53)</f>
        <v>0</v>
      </c>
      <c r="E54" s="691">
        <f>SUM(E50:E53)</f>
        <v>0</v>
      </c>
      <c r="F54" s="691">
        <f>SUM(F50:F53)</f>
        <v>0</v>
      </c>
      <c r="G54" s="691">
        <f>SUM(G50:G53)</f>
        <v>0</v>
      </c>
      <c r="H54" s="292"/>
      <c r="I54" s="693"/>
      <c r="J54" s="690"/>
      <c r="K54" s="691">
        <f>SUM(K50:K53)</f>
        <v>0</v>
      </c>
      <c r="L54" s="719"/>
    </row>
    <row r="55" spans="1:12">
      <c r="A55">
        <f>A53+1</f>
        <v>244</v>
      </c>
      <c r="B55" s="791"/>
      <c r="C55" s="696" t="s">
        <v>618</v>
      </c>
      <c r="D55" s="694">
        <v>0</v>
      </c>
      <c r="E55" s="694">
        <v>0</v>
      </c>
      <c r="F55" s="694">
        <v>0</v>
      </c>
      <c r="G55" s="695">
        <f>ROUND(IF(I55=Lists!$N$12,Op_Costs!H55,IF(I55=Lists!$N$13,Op_Costs!H55*Deal_Overview!$P$28,IF(Op_Costs!I55=Lists!$N$14,Op_Costs!H55*Deal_Overview!$U$34,""))),0)</f>
        <v>0</v>
      </c>
      <c r="H55" s="794">
        <v>350</v>
      </c>
      <c r="I55" s="859" t="s">
        <v>276</v>
      </c>
      <c r="J55" s="689">
        <f>Setup!$R$34</f>
        <v>0.03</v>
      </c>
      <c r="K55" s="897" t="str">
        <f>IF(Deal_Overview!$V$17=0,"",G55/Deal_Overview!$V$17)</f>
        <v/>
      </c>
      <c r="L55" s="962"/>
    </row>
    <row r="56" spans="1:12">
      <c r="A56">
        <f>A55+1</f>
        <v>245</v>
      </c>
      <c r="B56" s="791"/>
      <c r="C56" s="696" t="s">
        <v>619</v>
      </c>
      <c r="D56" s="694">
        <v>0</v>
      </c>
      <c r="E56" s="694">
        <v>0</v>
      </c>
      <c r="F56" s="694">
        <v>0</v>
      </c>
      <c r="G56" s="695">
        <f>ROUND(IF(I56=Lists!$N$12,Op_Costs!H56,IF(I56=Lists!$N$13,Op_Costs!H56*Deal_Overview!$P$28,IF(Op_Costs!I56=Lists!$N$14,Op_Costs!H56*Deal_Overview!$U$34,""))),0)</f>
        <v>0</v>
      </c>
      <c r="H56" s="792">
        <v>0</v>
      </c>
      <c r="I56" s="692" t="s">
        <v>273</v>
      </c>
      <c r="J56" s="689">
        <f>Setup!$R$34</f>
        <v>0.03</v>
      </c>
      <c r="K56" s="897" t="str">
        <f>IF(Deal_Overview!$V$17=0,"",G56/Deal_Overview!$V$17)</f>
        <v/>
      </c>
      <c r="L56" s="962"/>
    </row>
    <row r="57" spans="1:12">
      <c r="A57">
        <f>A56+1</f>
        <v>246</v>
      </c>
      <c r="B57" s="791"/>
      <c r="C57" s="696" t="s">
        <v>405</v>
      </c>
      <c r="D57" s="694">
        <v>0</v>
      </c>
      <c r="E57" s="694">
        <v>0</v>
      </c>
      <c r="F57" s="694">
        <v>0</v>
      </c>
      <c r="G57" s="695">
        <f>ROUND(IF(I57=Lists!$N$12,Op_Costs!H57,IF(I57=Lists!$N$13,Op_Costs!H57*Deal_Overview!$P$28,IF(Op_Costs!I57=Lists!$N$14,Op_Costs!H57*Deal_Overview!$U$34,""))),0)</f>
        <v>0</v>
      </c>
      <c r="H57" s="792">
        <v>0</v>
      </c>
      <c r="I57" s="692" t="s">
        <v>273</v>
      </c>
      <c r="J57" s="689">
        <f>Setup!$R$34</f>
        <v>0.03</v>
      </c>
      <c r="K57" s="897" t="str">
        <f>IF(Deal_Overview!$V$17=0,"",G57/Deal_Overview!$V$17)</f>
        <v/>
      </c>
      <c r="L57" s="962"/>
    </row>
    <row r="58" spans="1:12" s="293" customFormat="1">
      <c r="A58" s="291"/>
      <c r="B58" s="793" t="s">
        <v>406</v>
      </c>
      <c r="C58" s="697"/>
      <c r="D58" s="691">
        <f>SUM(D55:D56)</f>
        <v>0</v>
      </c>
      <c r="E58" s="691">
        <f>SUM(E55:E56)</f>
        <v>0</v>
      </c>
      <c r="F58" s="691">
        <f>SUM(F55:F56)</f>
        <v>0</v>
      </c>
      <c r="G58" s="691">
        <f>SUM(G55:G57)</f>
        <v>0</v>
      </c>
      <c r="H58" s="292"/>
      <c r="I58" s="693"/>
      <c r="J58" s="690"/>
      <c r="K58" s="691">
        <f>SUM(K55:K57)</f>
        <v>0</v>
      </c>
      <c r="L58" s="719"/>
    </row>
    <row r="59" spans="1:12">
      <c r="A59">
        <f>A57+1</f>
        <v>247</v>
      </c>
      <c r="B59" s="791"/>
      <c r="C59" s="696" t="s">
        <v>409</v>
      </c>
      <c r="D59" s="694">
        <v>0</v>
      </c>
      <c r="E59" s="694">
        <v>0</v>
      </c>
      <c r="F59" s="694">
        <v>0</v>
      </c>
      <c r="G59" s="695">
        <f>ROUND(IF(I59=Lists!$N$12,Op_Costs!H59,IF(I59=Lists!$N$13,Op_Costs!H59*Deal_Overview!$P$28,IF(Op_Costs!I59=Lists!$N$14,Op_Costs!H59*Deal_Overview!$U$34,""))),0)</f>
        <v>0</v>
      </c>
      <c r="H59" s="792">
        <v>0</v>
      </c>
      <c r="I59" s="692" t="s">
        <v>273</v>
      </c>
      <c r="J59" s="689">
        <f>Setup!$R$34</f>
        <v>0.03</v>
      </c>
      <c r="K59" s="897" t="str">
        <f>IF(Deal_Overview!$V$17=0,"",G59/Deal_Overview!$V$17)</f>
        <v/>
      </c>
      <c r="L59" s="962"/>
    </row>
    <row r="60" spans="1:12">
      <c r="A60">
        <f>A59+1</f>
        <v>248</v>
      </c>
      <c r="B60" s="791"/>
      <c r="C60" s="696" t="s">
        <v>410</v>
      </c>
      <c r="D60" s="694">
        <v>0</v>
      </c>
      <c r="E60" s="694">
        <v>0</v>
      </c>
      <c r="F60" s="694">
        <v>0</v>
      </c>
      <c r="G60" s="695">
        <f>ROUND(IF(I60=Lists!$N$12,Op_Costs!H60,IF(I60=Lists!$N$13,Op_Costs!H60*Deal_Overview!$P$28,IF(Op_Costs!I60=Lists!$N$14,Op_Costs!H60*Deal_Overview!$U$34,""))),0)</f>
        <v>0</v>
      </c>
      <c r="H60" s="792">
        <v>0</v>
      </c>
      <c r="I60" s="692" t="s">
        <v>273</v>
      </c>
      <c r="J60" s="689">
        <f>Setup!$R$34</f>
        <v>0.03</v>
      </c>
      <c r="K60" s="897" t="str">
        <f>IF(Deal_Overview!$V$17=0,"",G60/Deal_Overview!$V$17)</f>
        <v/>
      </c>
      <c r="L60" s="962"/>
    </row>
    <row r="61" spans="1:12" s="293" customFormat="1">
      <c r="A61" s="294"/>
      <c r="B61" s="793" t="s">
        <v>411</v>
      </c>
      <c r="C61" s="697"/>
      <c r="D61" s="691">
        <f>SUM(D59:D60)</f>
        <v>0</v>
      </c>
      <c r="E61" s="691">
        <f>SUM(E59:E60)</f>
        <v>0</v>
      </c>
      <c r="F61" s="691">
        <f>SUM(F59:F60)</f>
        <v>0</v>
      </c>
      <c r="G61" s="691">
        <f>SUM(G59:G60)</f>
        <v>0</v>
      </c>
      <c r="H61" s="292"/>
      <c r="I61" s="693"/>
      <c r="J61" s="690"/>
      <c r="K61" s="691">
        <f>SUM(K59:K60)</f>
        <v>0</v>
      </c>
      <c r="L61" s="719"/>
    </row>
    <row r="62" spans="1:12" s="288" customFormat="1">
      <c r="A62" s="1095"/>
      <c r="B62" s="1332" t="s">
        <v>620</v>
      </c>
      <c r="C62" s="1333"/>
      <c r="D62" s="1334">
        <f>D61+D58+D54+D49+D41+D29+D24+D18+D13</f>
        <v>0</v>
      </c>
      <c r="E62" s="1334">
        <f>E61+E58+E54+E49+E41+E29+E24+E18+E13</f>
        <v>0</v>
      </c>
      <c r="F62" s="1334">
        <f>F61+F58+F54+F49+F41+F29+F24+F18+F13</f>
        <v>0</v>
      </c>
      <c r="G62" s="1334">
        <f>G61+G58+G54+G49+G41+G29+G24+G18+G13</f>
        <v>0</v>
      </c>
      <c r="H62" s="1335"/>
      <c r="I62" s="1336"/>
      <c r="J62" s="1337"/>
      <c r="K62" s="1334">
        <f>K61+K58+K54+K49+K41+K29+K24+K18+K13</f>
        <v>0</v>
      </c>
      <c r="L62" s="1338"/>
    </row>
    <row r="63" spans="1:12" s="288" customFormat="1" ht="6" customHeight="1">
      <c r="A63" s="1095"/>
      <c r="B63" s="1339"/>
      <c r="C63" s="1340"/>
      <c r="D63" s="1341"/>
      <c r="E63" s="1341"/>
      <c r="F63" s="1341"/>
      <c r="G63" s="1341"/>
      <c r="H63" s="1342"/>
      <c r="I63" s="1343"/>
      <c r="J63" s="1344"/>
      <c r="K63" s="1341"/>
      <c r="L63" s="1345"/>
    </row>
    <row r="64" spans="1:12">
      <c r="B64" s="793" t="s">
        <v>621</v>
      </c>
      <c r="C64" s="294"/>
      <c r="D64" s="801"/>
      <c r="E64" s="801"/>
      <c r="F64" s="801"/>
      <c r="G64" s="802">
        <f>'Units&amp;Income'!D132-Op_Costs!G62</f>
        <v>0</v>
      </c>
      <c r="H64" s="299"/>
      <c r="I64" s="298"/>
      <c r="J64" s="300"/>
    </row>
    <row r="65" spans="7:7">
      <c r="G65" s="301"/>
    </row>
  </sheetData>
  <sheetProtection algorithmName="SHA-512" hashValue="qPM7rxpAggL6KQ9d110An8tD++RkHQIQxl57AjfKS0SRsqM/KsTCa/7A385BD79wsorJHm4ts7SQMx88phXI8Q==" saltValue="sExE2NT89CIP48uygZateA==" spinCount="100000" sheet="1" objects="1" scenarios="1"/>
  <mergeCells count="1">
    <mergeCell ref="D2:F2"/>
  </mergeCells>
  <phoneticPr fontId="53" type="noConversion"/>
  <dataValidations xWindow="587" yWindow="241" count="10">
    <dataValidation allowBlank="1" showInputMessage="1" showErrorMessage="1" promptTitle="Amount" prompt="The Amount is automatically calculated as the value entered in Column F (Enter Amount Here) * the Calculation Method (Column E). It cannot be overwritten." sqref="K62:K63 G59:G60 G55:G57 G50:G53 G42:G48 G30:G40 G25:G28 G19:G23 G14:G17 B1 D62:F63 G62:G65536 G2:G12" xr:uid="{00000000-0002-0000-0500-000000000000}"/>
    <dataValidation allowBlank="1" showInputMessage="1" showErrorMessage="1" promptTitle="Subtotals" prompt="Subtotals are automatically calculated and cannot be overwritten." sqref="K61:IV61 K13:IV13 K18:IV18 K24:IV24 K29:IV29 K41:IV41 K49:IV49 K54:IV54 K58:IV58 A13:I13 A18:I18 A24:I24 A29:I29 A41:I41 A49:I49 A54:I54 A58:I58 A61:I61" xr:uid="{00000000-0002-0000-0500-000001000000}"/>
    <dataValidation allowBlank="1" showInputMessage="1" showErrorMessage="1" promptTitle="Escalation Rate" prompt="The escalation rate will be defaulted to the rate entered on the Setup worksheet (cell R43), but can be overwritten. Each operating cost may have a different rate." sqref="J1:J1048576" xr:uid="{00000000-0002-0000-0500-000002000000}"/>
    <dataValidation allowBlank="1" showInputMessage="1" showErrorMessage="1" promptTitle="Enter Amount Here" prompt="Enter your operating cost here. The Amount will be calculated as this value * The Calculation Method (# of Units/ % of EGI/ or as the same Amount)." sqref="H1744:H65536 H4:H12 H56:H57 H19:H23 H25:H28 H30:H40 H42:H48 H50:H53 H59:H60 H15:H17" xr:uid="{00000000-0002-0000-0500-000003000000}"/>
    <dataValidation allowBlank="1" showErrorMessage="1" promptTitle="Enter Amount Here" prompt="Enter your operating cost here. The Amount will be calculated as this value * The Calculation Method (# of Units/ % of EGI/ or as the same Amount)." sqref="H1:H3 H62:H1743" xr:uid="{00000000-0002-0000-0500-000004000000}"/>
    <dataValidation allowBlank="1" showInputMessage="1" showErrorMessage="1" promptTitle="Replacement Reserves" prompt="The Replacement Reserves is defaulted to $350 per unit annually, but can be overwritten." sqref="H55" xr:uid="{00000000-0002-0000-0500-000005000000}"/>
    <dataValidation type="list" allowBlank="1" showInputMessage="1" promptTitle="Select from the list." prompt="The Amount for this operating cost will be calculated as the value entered in the &quot;Enter Amount Here&quot; column * the factor shown in tis column. Changing the Calculation Method will update the Stabilized Amount." sqref="I59:I60 I15:I17 I19:I23 I25:I28 I30:I40 I42:I48 I50:I53 I55:I57 I4:I12" xr:uid="{00000000-0002-0000-0500-000006000000}">
      <formula1>OpAmounts</formula1>
    </dataValidation>
    <dataValidation allowBlank="1" showInputMessage="1" showErrorMessage="1" promptTitle="Historical Operating Expenses" prompt="Enter all operating costs directly. There are no defaulted values." sqref="D4:F12 D14:F17 D19:F23 D25:F28 D30:F40 D42:F48 D50:F53 D55:F57 D59:F60" xr:uid="{00000000-0002-0000-0500-000007000000}"/>
    <dataValidation allowBlank="1" showInputMessage="1" showErrorMessage="1" promptTitle="Management Fee" prompt="If management fee is determined by the percentage of Effective Gross Income (EGI), enter that percentage in Column H (0.06 = 6%)." sqref="H14" xr:uid="{00000000-0002-0000-0500-000008000000}"/>
    <dataValidation type="list" allowBlank="1" showInputMessage="1" showErrorMessage="1" promptTitle="Management Fee" prompt="If management fee is determined by the percentage of Effective Gross Income (EGI), enter that percentage in Column H (0.06 = 6%)." sqref="I14" xr:uid="{00000000-0002-0000-0500-000009000000}">
      <formula1>OpAmounts</formula1>
    </dataValidation>
  </dataValidations>
  <pageMargins left="0.75" right="0.75" top="0.68" bottom="0.4" header="0.26" footer="0.16"/>
  <pageSetup scale="66" orientation="landscape" horizontalDpi="1200" verticalDpi="1200" r:id="rId1"/>
  <headerFooter alignWithMargins="0">
    <oddHeader>&amp;C&amp;"Arial,Bold"&amp;12Operating Costs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34"/>
    <pageSetUpPr fitToPage="1"/>
  </sheetPr>
  <dimension ref="A1:CC131"/>
  <sheetViews>
    <sheetView workbookViewId="0">
      <selection activeCell="B66" sqref="B66"/>
    </sheetView>
  </sheetViews>
  <sheetFormatPr defaultColWidth="9.140625" defaultRowHeight="12"/>
  <cols>
    <col min="1" max="1" width="4.85546875" style="331" customWidth="1"/>
    <col min="2" max="2" width="20.28515625" style="304" customWidth="1"/>
    <col min="3" max="3" width="19.85546875" style="326" customWidth="1"/>
    <col min="4" max="4" width="13.42578125" style="326" customWidth="1"/>
    <col min="5" max="5" width="11.28515625" style="326" customWidth="1"/>
    <col min="6" max="6" width="11.85546875" style="326" customWidth="1"/>
    <col min="7" max="7" width="11.85546875" style="327" customWidth="1"/>
    <col min="8" max="8" width="13.42578125" style="326" customWidth="1"/>
    <col min="9" max="9" width="12.140625" style="326" customWidth="1"/>
    <col min="10" max="10" width="13.140625" style="326" customWidth="1"/>
    <col min="11" max="11" width="19.28515625" style="302" customWidth="1"/>
    <col min="12" max="12" width="11" style="303" hidden="1" customWidth="1"/>
    <col min="13" max="14" width="7.7109375" style="303" hidden="1" customWidth="1"/>
    <col min="15" max="17" width="9.140625" style="303" hidden="1" customWidth="1"/>
    <col min="18" max="18" width="9.140625" style="303" collapsed="1"/>
    <col min="19" max="81" width="9.140625" style="303"/>
    <col min="82" max="16384" width="9.140625" style="304"/>
  </cols>
  <sheetData>
    <row r="1" spans="1:81" ht="12.2" customHeight="1" thickBot="1">
      <c r="A1" s="1945" t="str">
        <f>IF(Setup!D6="Refinancing DOH Deal","Existing Sources of Funds", "Construction Sources of Funds")</f>
        <v>Construction Sources of Funds</v>
      </c>
      <c r="B1" s="1945"/>
      <c r="C1" s="1945"/>
      <c r="D1" s="1945"/>
      <c r="E1" s="1945"/>
      <c r="F1" s="1945"/>
      <c r="G1" s="1945"/>
      <c r="H1" s="1945"/>
      <c r="I1" s="1945"/>
      <c r="J1" s="1945"/>
      <c r="K1" s="1945"/>
      <c r="L1" s="1346"/>
      <c r="M1" s="1346"/>
      <c r="N1" s="1346"/>
      <c r="O1" s="1346"/>
      <c r="P1" s="1346"/>
      <c r="Q1" s="1346"/>
      <c r="R1" s="1346"/>
      <c r="S1" s="1346"/>
      <c r="T1" s="1346"/>
      <c r="U1" s="1346"/>
      <c r="V1" s="1346"/>
      <c r="W1" s="1346"/>
      <c r="X1" s="1346"/>
      <c r="Y1" s="1346"/>
      <c r="Z1" s="1346"/>
      <c r="AA1" s="1346"/>
      <c r="AB1" s="1346"/>
      <c r="AC1" s="1346"/>
      <c r="AD1" s="1346"/>
      <c r="AE1" s="1346"/>
      <c r="AF1" s="1346"/>
      <c r="AG1" s="1346"/>
      <c r="AH1" s="1346"/>
      <c r="AI1" s="1346"/>
      <c r="AJ1" s="1346"/>
      <c r="AK1" s="1346"/>
      <c r="AL1" s="1346"/>
      <c r="AM1" s="1346"/>
      <c r="AN1" s="1346"/>
      <c r="AO1" s="1346"/>
      <c r="AP1" s="1346"/>
      <c r="AQ1" s="1346"/>
      <c r="AR1" s="1346"/>
      <c r="AS1" s="1346"/>
      <c r="AT1" s="1346"/>
      <c r="AU1" s="1346"/>
      <c r="AV1" s="1346"/>
      <c r="AW1" s="1346"/>
      <c r="AX1" s="1346"/>
      <c r="AY1" s="1346"/>
      <c r="AZ1" s="1346"/>
      <c r="BA1" s="1346"/>
      <c r="BB1" s="1346"/>
      <c r="BC1" s="1346"/>
      <c r="BD1" s="1346"/>
      <c r="BE1" s="1346"/>
      <c r="BF1" s="1346"/>
      <c r="BG1" s="1346"/>
      <c r="BH1" s="1346"/>
      <c r="BI1" s="1346"/>
      <c r="BJ1" s="1346"/>
      <c r="BK1" s="1346"/>
      <c r="BL1" s="1346"/>
      <c r="BM1" s="1346"/>
      <c r="BN1" s="1346"/>
      <c r="BO1" s="1346"/>
      <c r="BP1" s="1346"/>
      <c r="BQ1" s="1346"/>
      <c r="BR1" s="1346"/>
      <c r="BS1" s="1346"/>
      <c r="BT1" s="1346"/>
      <c r="BU1" s="1346"/>
      <c r="BV1" s="1346"/>
      <c r="BW1" s="1346"/>
      <c r="BX1" s="1346"/>
      <c r="BY1" s="1346"/>
      <c r="BZ1" s="1346"/>
      <c r="CA1" s="1346"/>
      <c r="CB1" s="1346"/>
      <c r="CC1" s="1346"/>
    </row>
    <row r="2" spans="1:81" s="310" customFormat="1" ht="33.75" customHeight="1">
      <c r="A2" s="305" t="s">
        <v>622</v>
      </c>
      <c r="B2" s="306" t="s">
        <v>623</v>
      </c>
      <c r="C2" s="307" t="s">
        <v>624</v>
      </c>
      <c r="D2" s="307" t="s">
        <v>273</v>
      </c>
      <c r="E2" s="307" t="s">
        <v>625</v>
      </c>
      <c r="F2" s="307" t="str">
        <f>IF(Setup!D6="Refinancing DOH Deal", "Amtz Period (Years)", "Term (Mos)")</f>
        <v>Term (Mos)</v>
      </c>
      <c r="G2" s="307" t="str">
        <f>IF(A1="Existing Sources of Funds","","Loan End Date")</f>
        <v>Loan End Date</v>
      </c>
      <c r="H2" s="308" t="str">
        <f>IF(Setup!D6="Refinancing DOH Deal", "Current Interest Rate", "Average  Interest Rate")</f>
        <v>Average  Interest Rate</v>
      </c>
      <c r="I2" s="307" t="str">
        <f>IF(Setup!D6="Refinancing DOH Deal", "Annual Payment", "Total Int. Payments")</f>
        <v>Total Int. Payments</v>
      </c>
      <c r="J2" s="307" t="str">
        <f>IF(Setup!D6="refinancing doh deal","DCR Shown in Total Row","'LIHTC Good' or 'Bad' Funds")</f>
        <v>'LIHTC Good' or 'Bad' Funds</v>
      </c>
      <c r="K2" s="309" t="str">
        <f>IF(Setup!D6="refinancing doh deal","","Reduction Amount")</f>
        <v>Reduction Amount</v>
      </c>
      <c r="L2" s="311"/>
      <c r="O2" s="311"/>
      <c r="P2" s="311" t="s">
        <v>626</v>
      </c>
      <c r="Q2" s="311" t="s">
        <v>627</v>
      </c>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c r="BP2" s="311"/>
      <c r="BQ2" s="311"/>
      <c r="BR2" s="311"/>
      <c r="BS2" s="311"/>
      <c r="BT2" s="311"/>
      <c r="BU2" s="311"/>
      <c r="BV2" s="311"/>
      <c r="BW2" s="311"/>
      <c r="BX2" s="311"/>
      <c r="BY2" s="311"/>
      <c r="BZ2" s="311"/>
      <c r="CA2" s="311"/>
      <c r="CB2" s="311"/>
      <c r="CC2" s="311"/>
    </row>
    <row r="3" spans="1:81">
      <c r="A3" s="1347">
        <v>1</v>
      </c>
      <c r="B3" s="1348" t="s">
        <v>628</v>
      </c>
      <c r="C3" s="1349"/>
      <c r="D3" s="1350">
        <f>IF(Setup!D6="New City Deal",IF(PV(I50/12,H50*12,-Deal_Overview!U38/1.15/12)&lt;0,0,PV(I50/12,H50*12,-Deal_Overview!U38/1.15/12)),0)</f>
        <v>0</v>
      </c>
      <c r="E3" s="1351" t="e">
        <f ca="1">D3/DevCosts!$D$133</f>
        <v>#DIV/0!</v>
      </c>
      <c r="F3" s="1350">
        <f ca="1">IF(Setup!D6="Refinancing DOH Deal", 30, ROUND((Setup!$R$28-Setup!$R$26)/30.4+4,0))</f>
        <v>28</v>
      </c>
      <c r="G3" s="1352">
        <f ca="1">IF(G2="","",Setup!$R$26+30.417*F3)</f>
        <v>45481.090563425925</v>
      </c>
      <c r="H3" s="1353">
        <v>0.08</v>
      </c>
      <c r="I3" s="1354">
        <f ca="1">IF(I2="Annual Payment", -PMT(H3/12,F3*12,D3)*12,H3*D3/12*0.75*F3)</f>
        <v>0</v>
      </c>
      <c r="J3" s="1355" t="str">
        <f>IF(Setup!D6="refinancing doh deal"," ","Good")</f>
        <v>Good</v>
      </c>
      <c r="K3" s="1356">
        <f>IF(Sources!$K$2="","",IF(J3="Good",0,D3))</f>
        <v>0</v>
      </c>
      <c r="L3" s="1346"/>
      <c r="M3" s="1346"/>
      <c r="N3" s="1346"/>
      <c r="O3" s="1346"/>
      <c r="P3" s="1346">
        <f t="shared" ref="P3:P23" si="0">IF(C3="Chicago DOH",I3,0)</f>
        <v>0</v>
      </c>
      <c r="Q3" s="1346">
        <f>IF(C3="Chicago DOH",D3,0)</f>
        <v>0</v>
      </c>
      <c r="R3" s="1346"/>
      <c r="S3" s="1346"/>
      <c r="T3" s="1346"/>
      <c r="U3" s="1346"/>
      <c r="V3" s="1346"/>
      <c r="W3" s="1346"/>
      <c r="X3" s="1346"/>
      <c r="Y3" s="1346"/>
      <c r="Z3" s="1346"/>
      <c r="AA3" s="1346"/>
      <c r="AB3" s="1346"/>
      <c r="AC3" s="1346"/>
      <c r="AD3" s="1346"/>
      <c r="AE3" s="1346"/>
      <c r="AF3" s="1346"/>
      <c r="AG3" s="1346"/>
      <c r="AH3" s="1346"/>
      <c r="AI3" s="1346"/>
      <c r="AJ3" s="1346"/>
      <c r="AK3" s="1346"/>
      <c r="AL3" s="1346"/>
      <c r="AM3" s="1346"/>
      <c r="AN3" s="1346"/>
      <c r="AO3" s="1346"/>
      <c r="AP3" s="1346"/>
      <c r="AQ3" s="1346"/>
      <c r="AR3" s="1346"/>
      <c r="AS3" s="1346"/>
      <c r="AT3" s="1346"/>
      <c r="AU3" s="1346"/>
      <c r="AV3" s="1346"/>
      <c r="AW3" s="1346"/>
      <c r="AX3" s="1346"/>
      <c r="AY3" s="1346"/>
      <c r="AZ3" s="1346"/>
      <c r="BA3" s="1346"/>
      <c r="BB3" s="1346"/>
      <c r="BC3" s="1346"/>
      <c r="BD3" s="1346"/>
      <c r="BE3" s="1346"/>
      <c r="BF3" s="1346"/>
      <c r="BG3" s="1346"/>
      <c r="BH3" s="1346"/>
      <c r="BI3" s="1346"/>
      <c r="BJ3" s="1346"/>
      <c r="BK3" s="1346"/>
      <c r="BL3" s="1346"/>
      <c r="BM3" s="1346"/>
      <c r="BN3" s="1346"/>
      <c r="BO3" s="1346"/>
      <c r="BP3" s="1346"/>
      <c r="BQ3" s="1346"/>
      <c r="BR3" s="1346"/>
      <c r="BS3" s="1346"/>
      <c r="BT3" s="1346"/>
      <c r="BU3" s="1346"/>
      <c r="BV3" s="1346"/>
      <c r="BW3" s="1346"/>
      <c r="BX3" s="1346"/>
      <c r="BY3" s="1346"/>
      <c r="BZ3" s="1346"/>
      <c r="CA3" s="1346"/>
      <c r="CB3" s="1346"/>
      <c r="CC3" s="1346"/>
    </row>
    <row r="4" spans="1:81">
      <c r="A4" s="1347">
        <v>2</v>
      </c>
      <c r="B4" s="1348" t="s">
        <v>629</v>
      </c>
      <c r="C4" s="1349"/>
      <c r="D4" s="1357">
        <v>0</v>
      </c>
      <c r="E4" s="1351" t="e">
        <f ca="1">D4/DevCosts!$D$133</f>
        <v>#DIV/0!</v>
      </c>
      <c r="F4" s="1350">
        <f ca="1">IF(Setup!$D$6="Refinancing DOH Deal", 30, ROUND((Setup!$R$28-Setup!$R$26)/30.4+4,0))</f>
        <v>28</v>
      </c>
      <c r="G4" s="1352">
        <f ca="1">IF(G3="","",Setup!$R$26+30.417*F4)</f>
        <v>45481.090563425925</v>
      </c>
      <c r="H4" s="1358">
        <v>0.08</v>
      </c>
      <c r="I4" s="1359">
        <f ca="1">IF(I2="Annual Payment", -PMT(H4/12,F4*12,D4)*12,H4*D4/12*0.75*F4)</f>
        <v>0</v>
      </c>
      <c r="J4" s="1355" t="str">
        <f>IF(Setup!D6="refinancing doh deal"," ","Good")</f>
        <v>Good</v>
      </c>
      <c r="K4" s="1356">
        <f>IF(Sources!$K$2="","",IF(J4="Good",0,D4))</f>
        <v>0</v>
      </c>
      <c r="L4" s="1346"/>
      <c r="M4" s="1346"/>
      <c r="N4" s="1346"/>
      <c r="O4" s="1346"/>
      <c r="P4" s="1346">
        <f t="shared" si="0"/>
        <v>0</v>
      </c>
      <c r="Q4" s="1346">
        <f t="shared" ref="Q4:Q23" si="1">IF(C4="Chicago DOH",D4,0)</f>
        <v>0</v>
      </c>
      <c r="R4" s="1346"/>
      <c r="S4" s="1346"/>
      <c r="T4" s="1346"/>
      <c r="U4" s="1346"/>
      <c r="V4" s="1346"/>
      <c r="W4" s="1346"/>
      <c r="X4" s="1346"/>
      <c r="Y4" s="1346"/>
      <c r="Z4" s="1346"/>
      <c r="AA4" s="1346"/>
      <c r="AB4" s="1346"/>
      <c r="AC4" s="1346"/>
      <c r="AD4" s="1346"/>
      <c r="AE4" s="1346"/>
      <c r="AF4" s="1346"/>
      <c r="AG4" s="1346"/>
      <c r="AH4" s="1346"/>
      <c r="AI4" s="1346"/>
      <c r="AJ4" s="1346"/>
      <c r="AK4" s="1346"/>
      <c r="AL4" s="1346"/>
      <c r="AM4" s="1346"/>
      <c r="AN4" s="1346"/>
      <c r="AO4" s="1346"/>
      <c r="AP4" s="1346"/>
      <c r="AQ4" s="1346"/>
      <c r="AR4" s="1346"/>
      <c r="AS4" s="1346"/>
      <c r="AT4" s="1346"/>
      <c r="AU4" s="1346"/>
      <c r="AV4" s="1346"/>
      <c r="AW4" s="1346"/>
      <c r="AX4" s="1346"/>
      <c r="AY4" s="1346"/>
      <c r="AZ4" s="1346"/>
      <c r="BA4" s="1346"/>
      <c r="BB4" s="1346"/>
      <c r="BC4" s="1346"/>
      <c r="BD4" s="1346"/>
      <c r="BE4" s="1346"/>
      <c r="BF4" s="1346"/>
      <c r="BG4" s="1346"/>
      <c r="BH4" s="1346"/>
      <c r="BI4" s="1346"/>
      <c r="BJ4" s="1346"/>
      <c r="BK4" s="1346"/>
      <c r="BL4" s="1346"/>
      <c r="BM4" s="1346"/>
      <c r="BN4" s="1346"/>
      <c r="BO4" s="1346"/>
      <c r="BP4" s="1346"/>
      <c r="BQ4" s="1346"/>
      <c r="BR4" s="1346"/>
      <c r="BS4" s="1346"/>
      <c r="BT4" s="1346"/>
      <c r="BU4" s="1346"/>
      <c r="BV4" s="1346"/>
      <c r="BW4" s="1346"/>
      <c r="BX4" s="1346"/>
      <c r="BY4" s="1346"/>
      <c r="BZ4" s="1346"/>
      <c r="CA4" s="1346"/>
      <c r="CB4" s="1346"/>
      <c r="CC4" s="1346"/>
    </row>
    <row r="5" spans="1:81">
      <c r="A5" s="1347">
        <v>1</v>
      </c>
      <c r="B5" s="1348" t="s">
        <v>630</v>
      </c>
      <c r="C5" s="1349"/>
      <c r="D5" s="1357">
        <v>0</v>
      </c>
      <c r="E5" s="1351" t="e">
        <f ca="1">D5/DevCosts!$D$133</f>
        <v>#DIV/0!</v>
      </c>
      <c r="F5" s="1350">
        <f ca="1">IF(Setup!$D$6="Refinancing DOH Deal", 30, ROUND((Setup!$R$28-Setup!$R$26)/30.4+4,0))</f>
        <v>28</v>
      </c>
      <c r="G5" s="1352">
        <f ca="1">IF(G4="","",Setup!$R$26+30.417*F5)</f>
        <v>45481.090563425925</v>
      </c>
      <c r="H5" s="1353">
        <v>6.5000000000000002E-2</v>
      </c>
      <c r="I5" s="1359">
        <f ca="1">IF(I2="Annual Payment", -PMT(H5/12,F5*12,D5)*12,H5*D5/12*0.75*F5)</f>
        <v>0</v>
      </c>
      <c r="J5" s="1360" t="str">
        <f>IF(Setup!D6="Refinancing DOH Deal", " ", IF(Setup!$K$9="9% Competitive Credits", "Bad", "Good"))</f>
        <v>Bad</v>
      </c>
      <c r="K5" s="1356">
        <f>IF(Sources!$K$2="","",IF(J5="Good",0,D5))</f>
        <v>0</v>
      </c>
      <c r="L5" s="1346"/>
      <c r="M5" s="1346"/>
      <c r="N5" s="1346"/>
      <c r="O5" s="1346"/>
      <c r="P5" s="1346">
        <f t="shared" si="0"/>
        <v>0</v>
      </c>
      <c r="Q5" s="1346">
        <f t="shared" si="1"/>
        <v>0</v>
      </c>
      <c r="R5" s="1346"/>
      <c r="S5" s="1346"/>
      <c r="T5" s="1346"/>
      <c r="U5" s="1346"/>
      <c r="V5" s="1346"/>
      <c r="W5" s="1346"/>
      <c r="X5" s="1346"/>
      <c r="Y5" s="1346"/>
      <c r="Z5" s="1346"/>
      <c r="AA5" s="1346"/>
      <c r="AB5" s="1346"/>
      <c r="AC5" s="1346"/>
      <c r="AD5" s="1346"/>
      <c r="AE5" s="1346"/>
      <c r="AF5" s="1346"/>
      <c r="AG5" s="1346"/>
      <c r="AH5" s="1346"/>
      <c r="AI5" s="1346"/>
      <c r="AJ5" s="1346"/>
      <c r="AK5" s="1346"/>
      <c r="AL5" s="1346"/>
      <c r="AM5" s="1346"/>
      <c r="AN5" s="1346"/>
      <c r="AO5" s="1346"/>
      <c r="AP5" s="1346"/>
      <c r="AQ5" s="1346"/>
      <c r="AR5" s="1346"/>
      <c r="AS5" s="1346"/>
      <c r="AT5" s="1346"/>
      <c r="AU5" s="1346"/>
      <c r="AV5" s="1346"/>
      <c r="AW5" s="1346"/>
      <c r="AX5" s="1346"/>
      <c r="AY5" s="1346"/>
      <c r="AZ5" s="1346"/>
      <c r="BA5" s="1346"/>
      <c r="BB5" s="1346"/>
      <c r="BC5" s="1346"/>
      <c r="BD5" s="1346"/>
      <c r="BE5" s="1346"/>
      <c r="BF5" s="1346"/>
      <c r="BG5" s="1346"/>
      <c r="BH5" s="1346"/>
      <c r="BI5" s="1346"/>
      <c r="BJ5" s="1346"/>
      <c r="BK5" s="1346"/>
      <c r="BL5" s="1346"/>
      <c r="BM5" s="1346"/>
      <c r="BN5" s="1346"/>
      <c r="BO5" s="1346"/>
      <c r="BP5" s="1346"/>
      <c r="BQ5" s="1346"/>
      <c r="BR5" s="1346"/>
      <c r="BS5" s="1346"/>
      <c r="BT5" s="1346"/>
      <c r="BU5" s="1346"/>
      <c r="BV5" s="1346"/>
      <c r="BW5" s="1346"/>
      <c r="BX5" s="1346"/>
      <c r="BY5" s="1346"/>
      <c r="BZ5" s="1346"/>
      <c r="CA5" s="1346"/>
      <c r="CB5" s="1346"/>
      <c r="CC5" s="1346"/>
    </row>
    <row r="6" spans="1:81">
      <c r="A6" s="1347">
        <v>2</v>
      </c>
      <c r="B6" s="1348" t="s">
        <v>631</v>
      </c>
      <c r="C6" s="1349"/>
      <c r="D6" s="1357">
        <v>0</v>
      </c>
      <c r="E6" s="1351" t="e">
        <f ca="1">D6/DevCosts!$D$133</f>
        <v>#DIV/0!</v>
      </c>
      <c r="F6" s="1350">
        <f ca="1">IF(Setup!$D$6="Refinancing DOH Deal", 30, ROUND((Setup!$R$28-Setup!$R$26)/30.4+4,0))</f>
        <v>28</v>
      </c>
      <c r="G6" s="1352">
        <f ca="1">IF(G5="","",Setup!$R$26+30.417*F6)</f>
        <v>45481.090563425925</v>
      </c>
      <c r="H6" s="1353">
        <v>6.5000000000000002E-2</v>
      </c>
      <c r="I6" s="1359">
        <f ca="1">IF(I2="Annual Payment", -PMT(H6/12,F6*12,D6)*12,H6*D6/12*0.75*F6)</f>
        <v>0</v>
      </c>
      <c r="J6" s="1360" t="str">
        <f>IF(Setup!D6="Refinancing DOH Deal", " ", IF(Setup!$K$9="9% Competitive Credits", "Bad", "Good"))</f>
        <v>Bad</v>
      </c>
      <c r="K6" s="1356">
        <f>IF(Sources!$K$2="","",IF(J6="Good",0,D6))</f>
        <v>0</v>
      </c>
      <c r="L6" s="1346"/>
      <c r="M6" s="1346"/>
      <c r="N6" s="1346"/>
      <c r="O6" s="1346"/>
      <c r="P6" s="1346">
        <f t="shared" si="0"/>
        <v>0</v>
      </c>
      <c r="Q6" s="1346">
        <f t="shared" si="1"/>
        <v>0</v>
      </c>
      <c r="R6" s="1346"/>
      <c r="S6" s="1346"/>
      <c r="T6" s="1346"/>
      <c r="U6" s="1346"/>
      <c r="V6" s="1346"/>
      <c r="W6" s="1346"/>
      <c r="X6" s="1346"/>
      <c r="Y6" s="1346"/>
      <c r="Z6" s="1346"/>
      <c r="AA6" s="1346"/>
      <c r="AB6" s="1346"/>
      <c r="AC6" s="1346"/>
      <c r="AD6" s="1346"/>
      <c r="AE6" s="1346"/>
      <c r="AF6" s="1346"/>
      <c r="AG6" s="1346"/>
      <c r="AH6" s="1346"/>
      <c r="AI6" s="1346"/>
      <c r="AJ6" s="1346"/>
      <c r="AK6" s="1346"/>
      <c r="AL6" s="1346"/>
      <c r="AM6" s="1346"/>
      <c r="AN6" s="1346"/>
      <c r="AO6" s="1346"/>
      <c r="AP6" s="1346"/>
      <c r="AQ6" s="1346"/>
      <c r="AR6" s="1346"/>
      <c r="AS6" s="1346"/>
      <c r="AT6" s="1346"/>
      <c r="AU6" s="1346"/>
      <c r="AV6" s="1346"/>
      <c r="AW6" s="1346"/>
      <c r="AX6" s="1346"/>
      <c r="AY6" s="1346"/>
      <c r="AZ6" s="1346"/>
      <c r="BA6" s="1346"/>
      <c r="BB6" s="1346"/>
      <c r="BC6" s="1346"/>
      <c r="BD6" s="1346"/>
      <c r="BE6" s="1346"/>
      <c r="BF6" s="1346"/>
      <c r="BG6" s="1346"/>
      <c r="BH6" s="1346"/>
      <c r="BI6" s="1346"/>
      <c r="BJ6" s="1346"/>
      <c r="BK6" s="1346"/>
      <c r="BL6" s="1346"/>
      <c r="BM6" s="1346"/>
      <c r="BN6" s="1346"/>
      <c r="BO6" s="1346"/>
      <c r="BP6" s="1346"/>
      <c r="BQ6" s="1346"/>
      <c r="BR6" s="1346"/>
      <c r="BS6" s="1346"/>
      <c r="BT6" s="1346"/>
      <c r="BU6" s="1346"/>
      <c r="BV6" s="1346"/>
      <c r="BW6" s="1346"/>
      <c r="BX6" s="1346"/>
      <c r="BY6" s="1346"/>
      <c r="BZ6" s="1346"/>
      <c r="CA6" s="1346"/>
      <c r="CB6" s="1346"/>
      <c r="CC6" s="1346"/>
    </row>
    <row r="7" spans="1:81" ht="12.75" thickBot="1">
      <c r="A7" s="1347">
        <v>3</v>
      </c>
      <c r="B7" s="1348" t="s">
        <v>632</v>
      </c>
      <c r="C7" s="1349"/>
      <c r="D7" s="1357">
        <v>0</v>
      </c>
      <c r="E7" s="1351" t="e">
        <f ca="1">D7/DevCosts!$D$133</f>
        <v>#DIV/0!</v>
      </c>
      <c r="F7" s="1350">
        <f ca="1">IF(Setup!$D$6="Refinancing DOH Deal", 30, ROUND((Setup!$R$28-Setup!$R$26)/30.4+4,0))</f>
        <v>28</v>
      </c>
      <c r="G7" s="1352">
        <f ca="1">IF(G6="","",Setup!$R$26+30.417*F7)</f>
        <v>45481.090563425925</v>
      </c>
      <c r="H7" s="1353">
        <v>6.5000000000000002E-2</v>
      </c>
      <c r="I7" s="1359">
        <f ca="1">IF(I2="Annual Payment", -PMT(H7/12,F7*12,D7)*12,H7*D7/12*0.75*F7)</f>
        <v>0</v>
      </c>
      <c r="J7" s="1360" t="str">
        <f>IF(Setup!D6="Refinancing DOH Deal", " ", IF(Setup!$K$9="9% Competitive Credits", "Bad", "Good"))</f>
        <v>Bad</v>
      </c>
      <c r="K7" s="1356">
        <f>IF(Sources!$K$2="","",IF(J7="Good",0,D7))</f>
        <v>0</v>
      </c>
      <c r="L7" s="1346"/>
      <c r="M7" s="1346"/>
      <c r="N7" s="1346"/>
      <c r="O7" s="1346"/>
      <c r="P7" s="1346">
        <f t="shared" si="0"/>
        <v>0</v>
      </c>
      <c r="Q7" s="1346">
        <f t="shared" si="1"/>
        <v>0</v>
      </c>
      <c r="R7" s="1346"/>
      <c r="S7" s="1346"/>
      <c r="T7" s="1346"/>
      <c r="U7" s="1346"/>
      <c r="V7" s="1346"/>
      <c r="W7" s="1346"/>
      <c r="X7" s="1346"/>
      <c r="Y7" s="1346"/>
      <c r="Z7" s="1346"/>
      <c r="AA7" s="1346"/>
      <c r="AB7" s="1346"/>
      <c r="AC7" s="1346"/>
      <c r="AD7" s="1346"/>
      <c r="AE7" s="1346"/>
      <c r="AF7" s="1346"/>
      <c r="AG7" s="1346"/>
      <c r="AH7" s="1346"/>
      <c r="AI7" s="1346"/>
      <c r="AJ7" s="1346"/>
      <c r="AK7" s="1346"/>
      <c r="AL7" s="1346"/>
      <c r="AM7" s="1346"/>
      <c r="AN7" s="1346"/>
      <c r="AO7" s="1346"/>
      <c r="AP7" s="1346"/>
      <c r="AQ7" s="1346"/>
      <c r="AR7" s="1346"/>
      <c r="AS7" s="1346"/>
      <c r="AT7" s="1346"/>
      <c r="AU7" s="1346"/>
      <c r="AV7" s="1346"/>
      <c r="AW7" s="1346"/>
      <c r="AX7" s="1346"/>
      <c r="AY7" s="1346"/>
      <c r="AZ7" s="1346"/>
      <c r="BA7" s="1346"/>
      <c r="BB7" s="1346"/>
      <c r="BC7" s="1346"/>
      <c r="BD7" s="1346"/>
      <c r="BE7" s="1346"/>
      <c r="BF7" s="1346"/>
      <c r="BG7" s="1346"/>
      <c r="BH7" s="1346"/>
      <c r="BI7" s="1346"/>
      <c r="BJ7" s="1346"/>
      <c r="BK7" s="1346"/>
      <c r="BL7" s="1346"/>
      <c r="BM7" s="1346"/>
      <c r="BN7" s="1346"/>
      <c r="BO7" s="1346"/>
      <c r="BP7" s="1346"/>
      <c r="BQ7" s="1346"/>
      <c r="BR7" s="1346"/>
      <c r="BS7" s="1346"/>
      <c r="BT7" s="1346"/>
      <c r="BU7" s="1346"/>
      <c r="BV7" s="1346"/>
      <c r="BW7" s="1346"/>
      <c r="BX7" s="1346"/>
      <c r="BY7" s="1346"/>
      <c r="BZ7" s="1346"/>
      <c r="CA7" s="1346"/>
      <c r="CB7" s="1346"/>
      <c r="CC7" s="1346"/>
    </row>
    <row r="8" spans="1:81">
      <c r="A8" s="1347">
        <v>2</v>
      </c>
      <c r="B8" s="1082" t="s">
        <v>633</v>
      </c>
      <c r="C8" s="1361"/>
      <c r="D8" s="1357">
        <v>0</v>
      </c>
      <c r="E8" s="1351" t="e">
        <f ca="1">D8/DevCosts!$D$133</f>
        <v>#DIV/0!</v>
      </c>
      <c r="F8" s="1350">
        <f ca="1">IF(Setup!$D$6="Refinancing DOH Deal", 30, ROUND((Setup!$R$28-Setup!$R$26)/30.4+4,0))</f>
        <v>28</v>
      </c>
      <c r="G8" s="1352">
        <f ca="1">IF(G7="","",Setup!$R$26+30.417*F8)</f>
        <v>45481.090563425925</v>
      </c>
      <c r="H8" s="1353">
        <v>0.08</v>
      </c>
      <c r="I8" s="1359">
        <f t="shared" ref="I8:I15" ca="1" si="2">H8*D8/12*0.75*F8</f>
        <v>0</v>
      </c>
      <c r="J8" s="1355" t="str">
        <f>IF(Setup!D6="refinancing doh deal"," ","Good")</f>
        <v>Good</v>
      </c>
      <c r="K8" s="1356">
        <f>IF(Sources!$K$2="","",IF(J8="Good",0,D8))</f>
        <v>0</v>
      </c>
      <c r="L8" s="313" t="s">
        <v>634</v>
      </c>
      <c r="M8" s="314" t="s">
        <v>635</v>
      </c>
      <c r="N8" s="314" t="s">
        <v>636</v>
      </c>
      <c r="O8" s="315" t="s">
        <v>637</v>
      </c>
      <c r="P8" s="1346">
        <f t="shared" si="0"/>
        <v>0</v>
      </c>
      <c r="Q8" s="1346">
        <f t="shared" si="1"/>
        <v>0</v>
      </c>
      <c r="R8" s="1346"/>
      <c r="S8" s="1346"/>
      <c r="T8" s="1346"/>
      <c r="U8" s="1346"/>
      <c r="V8" s="1346"/>
      <c r="W8" s="1346"/>
      <c r="X8" s="1346"/>
      <c r="Y8" s="1346"/>
      <c r="Z8" s="1346"/>
      <c r="AA8" s="1346"/>
      <c r="AB8" s="1346"/>
      <c r="AC8" s="1346"/>
      <c r="AD8" s="1346"/>
      <c r="AE8" s="1346"/>
      <c r="AF8" s="1346"/>
      <c r="AG8" s="1346"/>
      <c r="AH8" s="1346"/>
      <c r="AI8" s="1346"/>
      <c r="AJ8" s="1346"/>
      <c r="AK8" s="1346"/>
      <c r="AL8" s="1346"/>
      <c r="AM8" s="1346"/>
      <c r="AN8" s="1346"/>
      <c r="AO8" s="1346"/>
      <c r="AP8" s="1346"/>
      <c r="AQ8" s="1346"/>
      <c r="AR8" s="1346"/>
      <c r="AS8" s="1346"/>
      <c r="AT8" s="1346"/>
      <c r="AU8" s="1346"/>
      <c r="AV8" s="1346"/>
      <c r="AW8" s="1346"/>
      <c r="AX8" s="1346"/>
      <c r="AY8" s="1346"/>
      <c r="AZ8" s="1346"/>
      <c r="BA8" s="1346"/>
      <c r="BB8" s="1346"/>
      <c r="BC8" s="1346"/>
      <c r="BD8" s="1346"/>
      <c r="BE8" s="1346"/>
      <c r="BF8" s="1346"/>
      <c r="BG8" s="1346"/>
      <c r="BH8" s="1346"/>
      <c r="BI8" s="1346"/>
      <c r="BJ8" s="1346"/>
      <c r="BK8" s="1346"/>
      <c r="BL8" s="1346"/>
      <c r="BM8" s="1346"/>
      <c r="BN8" s="1346"/>
      <c r="BO8" s="1346"/>
      <c r="BP8" s="1346"/>
      <c r="BQ8" s="1346"/>
      <c r="BR8" s="1346"/>
      <c r="BS8" s="1346"/>
      <c r="BT8" s="1346"/>
      <c r="BU8" s="1346"/>
      <c r="BV8" s="1346"/>
      <c r="BW8" s="1346"/>
      <c r="BX8" s="1346"/>
      <c r="BY8" s="1346"/>
      <c r="BZ8" s="1346"/>
      <c r="CA8" s="1346"/>
      <c r="CB8" s="1346"/>
      <c r="CC8" s="1346"/>
    </row>
    <row r="9" spans="1:81">
      <c r="A9" s="1347">
        <v>3</v>
      </c>
      <c r="B9" s="1082" t="s">
        <v>638</v>
      </c>
      <c r="C9" s="316" t="s">
        <v>208</v>
      </c>
      <c r="D9" s="1357">
        <v>0</v>
      </c>
      <c r="E9" s="1351" t="e">
        <f ca="1">D9/DevCosts!$D$133</f>
        <v>#DIV/0!</v>
      </c>
      <c r="F9" s="1350">
        <f ca="1">IF(Setup!$D$6="Refinancing DOH Deal", 30, ROUND((Setup!$R$28-Setup!$R$26)/30.4+4,0))</f>
        <v>28</v>
      </c>
      <c r="G9" s="1352">
        <f ca="1">IF(G8="","",Setup!$R$26+30.417*F9)</f>
        <v>45481.090563425925</v>
      </c>
      <c r="H9" s="1353">
        <v>0.01</v>
      </c>
      <c r="I9" s="1362">
        <v>0</v>
      </c>
      <c r="J9" s="1355" t="str">
        <f>IF(Setup!D6="refinancing doh deal"," ","Good")</f>
        <v>Good</v>
      </c>
      <c r="K9" s="1356">
        <f>IF(Sources!$K$2="","",IF(J9="Good",0,D9))</f>
        <v>0</v>
      </c>
      <c r="L9" s="1363" t="s">
        <v>639</v>
      </c>
      <c r="M9" s="1364" t="str">
        <f>IF(Setup!K9="9% Competitive Credits","Yes","No")</f>
        <v>Yes</v>
      </c>
      <c r="N9" s="1364" t="str">
        <f>M9</f>
        <v>Yes</v>
      </c>
      <c r="O9" s="1365" t="str">
        <f>N9</f>
        <v>Yes</v>
      </c>
      <c r="P9" s="1346">
        <f t="shared" si="0"/>
        <v>0</v>
      </c>
      <c r="Q9" s="1346">
        <f t="shared" si="1"/>
        <v>0</v>
      </c>
      <c r="R9" s="1346"/>
      <c r="S9" s="1346"/>
      <c r="T9" s="1346"/>
      <c r="U9" s="1346"/>
      <c r="V9" s="1346"/>
      <c r="W9" s="1346"/>
      <c r="X9" s="1346"/>
      <c r="Y9" s="1346"/>
      <c r="Z9" s="1346"/>
      <c r="AA9" s="1346"/>
      <c r="AB9" s="1346"/>
      <c r="AC9" s="1346"/>
      <c r="AD9" s="1346"/>
      <c r="AE9" s="1346"/>
      <c r="AF9" s="1346"/>
      <c r="AG9" s="1346"/>
      <c r="AH9" s="1346"/>
      <c r="AI9" s="1346"/>
      <c r="AJ9" s="1346"/>
      <c r="AK9" s="1346"/>
      <c r="AL9" s="1346"/>
      <c r="AM9" s="1346"/>
      <c r="AN9" s="1346"/>
      <c r="AO9" s="1346"/>
      <c r="AP9" s="1346"/>
      <c r="AQ9" s="1346"/>
      <c r="AR9" s="1346"/>
      <c r="AS9" s="1346"/>
      <c r="AT9" s="1346"/>
      <c r="AU9" s="1346"/>
      <c r="AV9" s="1346"/>
      <c r="AW9" s="1346"/>
      <c r="AX9" s="1346"/>
      <c r="AY9" s="1346"/>
      <c r="AZ9" s="1346"/>
      <c r="BA9" s="1346"/>
      <c r="BB9" s="1346"/>
      <c r="BC9" s="1346"/>
      <c r="BD9" s="1346"/>
      <c r="BE9" s="1346"/>
      <c r="BF9" s="1346"/>
      <c r="BG9" s="1346"/>
      <c r="BH9" s="1346"/>
      <c r="BI9" s="1346"/>
      <c r="BJ9" s="1346"/>
      <c r="BK9" s="1346"/>
      <c r="BL9" s="1346"/>
      <c r="BM9" s="1346"/>
      <c r="BN9" s="1346"/>
      <c r="BO9" s="1346"/>
      <c r="BP9" s="1346"/>
      <c r="BQ9" s="1346"/>
      <c r="BR9" s="1346"/>
      <c r="BS9" s="1346"/>
      <c r="BT9" s="1346"/>
      <c r="BU9" s="1346"/>
      <c r="BV9" s="1346"/>
      <c r="BW9" s="1346"/>
      <c r="BX9" s="1346"/>
      <c r="BY9" s="1346"/>
      <c r="BZ9" s="1346"/>
      <c r="CA9" s="1346"/>
      <c r="CB9" s="1346"/>
      <c r="CC9" s="1346"/>
    </row>
    <row r="10" spans="1:81">
      <c r="A10" s="1347">
        <v>3</v>
      </c>
      <c r="B10" s="1082" t="s">
        <v>635</v>
      </c>
      <c r="C10" s="316" t="s">
        <v>208</v>
      </c>
      <c r="D10" s="1357">
        <v>0</v>
      </c>
      <c r="E10" s="1351" t="e">
        <f ca="1">D10/DevCosts!$D$133</f>
        <v>#DIV/0!</v>
      </c>
      <c r="F10" s="1350">
        <f ca="1">IF(Setup!$D$6="Refinancing DOH Deal", 30, ROUND((Setup!$R$28-Setup!$R$26)/30.4+4,0))</f>
        <v>28</v>
      </c>
      <c r="G10" s="1352">
        <f ca="1">IF(G9="","",Setup!$R$26+30.417*F10)</f>
        <v>45481.090563425925</v>
      </c>
      <c r="H10" s="1353">
        <v>0</v>
      </c>
      <c r="I10" s="1362">
        <f t="shared" ca="1" si="2"/>
        <v>0</v>
      </c>
      <c r="J10" s="1366" t="str">
        <f>IF('Units&amp;Income'!I94=0,"Good", IF(Setup!D6="Refinancing DOH Deal"," ",IF($M$10="Yes","Good",IF($M$9="No","Good", IF($M$14="Yes",IF($M$11="No","Good","Bad"),"Bad")))))</f>
        <v>Good</v>
      </c>
      <c r="K10" s="1356">
        <f>IF(Sources!$K$2="","",IF(J10="Good",0,D10))</f>
        <v>0</v>
      </c>
      <c r="L10" s="1363" t="s">
        <v>640</v>
      </c>
      <c r="M10" s="1364" t="str">
        <f>IF(I56&gt;Setup!K34-0.01,"Yes", "No")</f>
        <v>No</v>
      </c>
      <c r="N10" s="1364" t="str">
        <f>IF(I57&gt;Setup!K34-0.01,"Yes", "No")</f>
        <v>No</v>
      </c>
      <c r="O10" s="1365" t="str">
        <f>IF(I58&gt;(Setup!K34-0.01),"Yes", "No")</f>
        <v>No</v>
      </c>
      <c r="P10" s="1346">
        <f t="shared" ca="1" si="0"/>
        <v>0</v>
      </c>
      <c r="Q10" s="1346">
        <f t="shared" si="1"/>
        <v>0</v>
      </c>
      <c r="R10" s="1346"/>
      <c r="S10" s="1346"/>
      <c r="T10" s="1346"/>
      <c r="U10" s="1346"/>
      <c r="V10" s="1346"/>
      <c r="W10" s="1346"/>
      <c r="X10" s="1346"/>
      <c r="Y10" s="1346"/>
      <c r="Z10" s="1346"/>
      <c r="AA10" s="1346"/>
      <c r="AB10" s="1346"/>
      <c r="AC10" s="1346"/>
      <c r="AD10" s="1346"/>
      <c r="AE10" s="1346"/>
      <c r="AF10" s="1346"/>
      <c r="AG10" s="1346"/>
      <c r="AH10" s="1346"/>
      <c r="AI10" s="1346"/>
      <c r="AJ10" s="1346"/>
      <c r="AK10" s="1346"/>
      <c r="AL10" s="1346"/>
      <c r="AM10" s="1346"/>
      <c r="AN10" s="1346"/>
      <c r="AO10" s="1346"/>
      <c r="AP10" s="1346"/>
      <c r="AQ10" s="1346"/>
      <c r="AR10" s="1346"/>
      <c r="AS10" s="1346"/>
      <c r="AT10" s="1346"/>
      <c r="AU10" s="1346"/>
      <c r="AV10" s="1346"/>
      <c r="AW10" s="1346"/>
      <c r="AX10" s="1346"/>
      <c r="AY10" s="1346"/>
      <c r="AZ10" s="1346"/>
      <c r="BA10" s="1346"/>
      <c r="BB10" s="1346"/>
      <c r="BC10" s="1346"/>
      <c r="BD10" s="1346"/>
      <c r="BE10" s="1346"/>
      <c r="BF10" s="1346"/>
      <c r="BG10" s="1346"/>
      <c r="BH10" s="1346"/>
      <c r="BI10" s="1346"/>
      <c r="BJ10" s="1346"/>
      <c r="BK10" s="1346"/>
      <c r="BL10" s="1346"/>
      <c r="BM10" s="1346"/>
      <c r="BN10" s="1346"/>
      <c r="BO10" s="1346"/>
      <c r="BP10" s="1346"/>
      <c r="BQ10" s="1346"/>
      <c r="BR10" s="1346"/>
      <c r="BS10" s="1346"/>
      <c r="BT10" s="1346"/>
      <c r="BU10" s="1346"/>
      <c r="BV10" s="1346"/>
      <c r="BW10" s="1346"/>
      <c r="BX10" s="1346"/>
      <c r="BY10" s="1346"/>
      <c r="BZ10" s="1346"/>
      <c r="CA10" s="1346"/>
      <c r="CB10" s="1346"/>
      <c r="CC10" s="1346"/>
    </row>
    <row r="11" spans="1:81">
      <c r="A11" s="1347">
        <v>4</v>
      </c>
      <c r="B11" s="1082" t="s">
        <v>641</v>
      </c>
      <c r="C11" s="316" t="s">
        <v>43</v>
      </c>
      <c r="D11" s="1367">
        <f>ARC!F107</f>
        <v>0</v>
      </c>
      <c r="E11" s="1351" t="e">
        <f ca="1">D11/DevCosts!$D$133</f>
        <v>#DIV/0!</v>
      </c>
      <c r="F11" s="1350">
        <f ca="1">IF(Setup!$D$6="Refinancing DOH Deal", 30, ROUND((Setup!$R$28-Setup!$R$26)/30.4+4,0))</f>
        <v>28</v>
      </c>
      <c r="G11" s="1352">
        <f ca="1">IF(G10="","",Setup!$R$26+30.417*F11)</f>
        <v>45481.090563425925</v>
      </c>
      <c r="H11" s="1353">
        <v>0</v>
      </c>
      <c r="I11" s="1362">
        <f t="shared" ca="1" si="2"/>
        <v>0</v>
      </c>
      <c r="J11" s="1366" t="str">
        <f>IF('Units&amp;Income'!I94=0,"Good",IF(Setup!D6="Refinancing DOH Deal"," ",IF($N$10="Yes","Good",IF($N$9="No","Good", IF($N$14="Yes",IF($N$11="No","Good","Bad"),"Bad")))))</f>
        <v>Good</v>
      </c>
      <c r="K11" s="1356">
        <f>IF(Sources!$K$2="","",IF(J11="Good",0,D11))</f>
        <v>0</v>
      </c>
      <c r="L11" s="1363" t="s">
        <v>642</v>
      </c>
      <c r="M11" s="1364" t="str">
        <f>IF(Setup!L10="Yes","Yes","No")</f>
        <v>No</v>
      </c>
      <c r="N11" s="1364" t="str">
        <f>M11</f>
        <v>No</v>
      </c>
      <c r="O11" s="1365"/>
      <c r="P11" s="1346">
        <f t="shared" si="0"/>
        <v>0</v>
      </c>
      <c r="Q11" s="1346">
        <f t="shared" si="1"/>
        <v>0</v>
      </c>
      <c r="R11" s="1346"/>
      <c r="S11" s="1346"/>
      <c r="T11" s="1346"/>
      <c r="U11" s="1346"/>
      <c r="V11" s="1346"/>
      <c r="W11" s="1346"/>
      <c r="X11" s="1346"/>
      <c r="Y11" s="1346"/>
      <c r="Z11" s="1346"/>
      <c r="AA11" s="1346"/>
      <c r="AB11" s="1346"/>
      <c r="AC11" s="1346"/>
      <c r="AD11" s="1346"/>
      <c r="AE11" s="1346"/>
      <c r="AF11" s="1346"/>
      <c r="AG11" s="1346"/>
      <c r="AH11" s="1346"/>
      <c r="AI11" s="1346"/>
      <c r="AJ11" s="1346"/>
      <c r="AK11" s="1346"/>
      <c r="AL11" s="1346"/>
      <c r="AM11" s="1346"/>
      <c r="AN11" s="1346"/>
      <c r="AO11" s="1346"/>
      <c r="AP11" s="1346"/>
      <c r="AQ11" s="1346"/>
      <c r="AR11" s="1346"/>
      <c r="AS11" s="1346"/>
      <c r="AT11" s="1346"/>
      <c r="AU11" s="1346"/>
      <c r="AV11" s="1346"/>
      <c r="AW11" s="1346"/>
      <c r="AX11" s="1346"/>
      <c r="AY11" s="1346"/>
      <c r="AZ11" s="1346"/>
      <c r="BA11" s="1346"/>
      <c r="BB11" s="1346"/>
      <c r="BC11" s="1346"/>
      <c r="BD11" s="1346"/>
      <c r="BE11" s="1346"/>
      <c r="BF11" s="1346"/>
      <c r="BG11" s="1346"/>
      <c r="BH11" s="1346"/>
      <c r="BI11" s="1346"/>
      <c r="BJ11" s="1346"/>
      <c r="BK11" s="1346"/>
      <c r="BL11" s="1346"/>
      <c r="BM11" s="1346"/>
      <c r="BN11" s="1346"/>
      <c r="BO11" s="1346"/>
      <c r="BP11" s="1346"/>
      <c r="BQ11" s="1346"/>
      <c r="BR11" s="1346"/>
      <c r="BS11" s="1346"/>
      <c r="BT11" s="1346"/>
      <c r="BU11" s="1346"/>
      <c r="BV11" s="1346"/>
      <c r="BW11" s="1346"/>
      <c r="BX11" s="1346"/>
      <c r="BY11" s="1346"/>
      <c r="BZ11" s="1346"/>
      <c r="CA11" s="1346"/>
      <c r="CB11" s="1346"/>
      <c r="CC11" s="1346"/>
    </row>
    <row r="12" spans="1:81">
      <c r="A12" s="1347">
        <v>5</v>
      </c>
      <c r="B12" s="1082" t="s">
        <v>643</v>
      </c>
      <c r="C12" s="316" t="s">
        <v>644</v>
      </c>
      <c r="D12" s="1357">
        <v>0</v>
      </c>
      <c r="E12" s="1351" t="e">
        <f ca="1">D12/DevCosts!$D$133</f>
        <v>#DIV/0!</v>
      </c>
      <c r="F12" s="1350">
        <f ca="1">IF(Setup!$D$6="Refinancing DOH Deal", 30, ROUND((Setup!$R$28-Setup!$R$26)/30.4+4,0))</f>
        <v>28</v>
      </c>
      <c r="G12" s="1352">
        <f ca="1">IF(G11="","",Setup!$R$26+30.417*F12)</f>
        <v>45481.090563425925</v>
      </c>
      <c r="H12" s="1353">
        <v>0</v>
      </c>
      <c r="I12" s="1362">
        <f t="shared" ca="1" si="2"/>
        <v>0</v>
      </c>
      <c r="J12" s="1366" t="str">
        <f>IF(Setup!D6="refinancing Doh deal"," ",IF($O$10="Yes","Good",IF($O$9="No","Good","Bad")))</f>
        <v>Bad</v>
      </c>
      <c r="K12" s="1356">
        <f>IF(Sources!$K$2="","",IF(J12="Good",0,D12))</f>
        <v>0</v>
      </c>
      <c r="L12" s="1346"/>
      <c r="M12" s="1346"/>
      <c r="N12" s="1346"/>
      <c r="O12" s="1346"/>
      <c r="P12" s="1346">
        <f t="shared" si="0"/>
        <v>0</v>
      </c>
      <c r="Q12" s="1346">
        <f t="shared" si="1"/>
        <v>0</v>
      </c>
      <c r="R12" s="1346"/>
      <c r="S12" s="1346"/>
      <c r="T12" s="1346"/>
      <c r="U12" s="1346"/>
      <c r="V12" s="1346"/>
      <c r="W12" s="1346"/>
      <c r="X12" s="1346"/>
      <c r="Y12" s="1346"/>
      <c r="Z12" s="1346"/>
      <c r="AA12" s="1346"/>
      <c r="AB12" s="1346"/>
      <c r="AC12" s="1346"/>
      <c r="AD12" s="1346"/>
      <c r="AE12" s="1346"/>
      <c r="AF12" s="1346"/>
      <c r="AG12" s="1346"/>
      <c r="AH12" s="1346"/>
      <c r="AI12" s="1346"/>
      <c r="AJ12" s="1346"/>
      <c r="AK12" s="1346"/>
      <c r="AL12" s="1346"/>
      <c r="AM12" s="1346"/>
      <c r="AN12" s="1346"/>
      <c r="AO12" s="1346"/>
      <c r="AP12" s="1346"/>
      <c r="AQ12" s="1346"/>
      <c r="AR12" s="1346"/>
      <c r="AS12" s="1346"/>
      <c r="AT12" s="1346"/>
      <c r="AU12" s="1346"/>
      <c r="AV12" s="1346"/>
      <c r="AW12" s="1346"/>
      <c r="AX12" s="1346"/>
      <c r="AY12" s="1346"/>
      <c r="AZ12" s="1346"/>
      <c r="BA12" s="1346"/>
      <c r="BB12" s="1346"/>
      <c r="BC12" s="1346"/>
      <c r="BD12" s="1346"/>
      <c r="BE12" s="1346"/>
      <c r="BF12" s="1346"/>
      <c r="BG12" s="1346"/>
      <c r="BH12" s="1346"/>
      <c r="BI12" s="1346"/>
      <c r="BJ12" s="1346"/>
      <c r="BK12" s="1346"/>
      <c r="BL12" s="1346"/>
      <c r="BM12" s="1346"/>
      <c r="BN12" s="1346"/>
      <c r="BO12" s="1346"/>
      <c r="BP12" s="1346"/>
      <c r="BQ12" s="1346"/>
      <c r="BR12" s="1346"/>
      <c r="BS12" s="1346"/>
      <c r="BT12" s="1346"/>
      <c r="BU12" s="1346"/>
      <c r="BV12" s="1346"/>
      <c r="BW12" s="1346"/>
      <c r="BX12" s="1346"/>
      <c r="BY12" s="1346"/>
      <c r="BZ12" s="1346"/>
      <c r="CA12" s="1346"/>
      <c r="CB12" s="1346"/>
      <c r="CC12" s="1346"/>
    </row>
    <row r="13" spans="1:81" s="317" customFormat="1">
      <c r="A13" s="1347">
        <v>5</v>
      </c>
      <c r="B13" s="1084" t="s">
        <v>645</v>
      </c>
      <c r="C13" s="316" t="s">
        <v>646</v>
      </c>
      <c r="D13" s="1357">
        <v>0</v>
      </c>
      <c r="E13" s="1351" t="e">
        <f ca="1">D13/DevCosts!$D$133</f>
        <v>#DIV/0!</v>
      </c>
      <c r="F13" s="1350">
        <f ca="1">IF(Setup!$D$6="Refinancing DOH Deal", 30, ROUND((Setup!$R$28-Setup!$R$26)/30.4+4,0))</f>
        <v>28</v>
      </c>
      <c r="G13" s="1352">
        <f ca="1">IF(G12="","",Setup!$R$26+30.417*F13)</f>
        <v>45481.090563425925</v>
      </c>
      <c r="H13" s="1353">
        <v>0</v>
      </c>
      <c r="I13" s="1362">
        <f t="shared" ca="1" si="2"/>
        <v>0</v>
      </c>
      <c r="J13" s="1355" t="str">
        <f>IF(Setup!D6="refinancing doh deal"," ","Good")</f>
        <v>Good</v>
      </c>
      <c r="K13" s="1356">
        <f>IF(Sources!$K$2="","",IF(J13="Good",0,D13))</f>
        <v>0</v>
      </c>
      <c r="L13" s="902"/>
      <c r="M13" s="902"/>
      <c r="N13" s="902"/>
      <c r="O13" s="902"/>
      <c r="P13" s="1346">
        <f t="shared" si="0"/>
        <v>0</v>
      </c>
      <c r="Q13" s="1346">
        <f t="shared" si="1"/>
        <v>0</v>
      </c>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c r="BC13" s="902"/>
      <c r="BD13" s="902"/>
      <c r="BE13" s="902"/>
      <c r="BF13" s="902"/>
      <c r="BG13" s="902"/>
      <c r="BH13" s="902"/>
      <c r="BI13" s="902"/>
      <c r="BJ13" s="902"/>
      <c r="BK13" s="902"/>
      <c r="BL13" s="902"/>
      <c r="BM13" s="902"/>
      <c r="BN13" s="902"/>
      <c r="BO13" s="902"/>
      <c r="BP13" s="902"/>
      <c r="BQ13" s="902"/>
      <c r="BR13" s="902"/>
      <c r="BS13" s="902"/>
      <c r="BT13" s="902"/>
      <c r="BU13" s="902"/>
      <c r="BV13" s="902"/>
      <c r="BW13" s="902"/>
      <c r="BX13" s="902"/>
      <c r="BY13" s="902"/>
      <c r="BZ13" s="902"/>
      <c r="CA13" s="902"/>
      <c r="CB13" s="902"/>
      <c r="CC13" s="902"/>
    </row>
    <row r="14" spans="1:81" ht="12.75" thickBot="1">
      <c r="A14" s="1347">
        <v>5</v>
      </c>
      <c r="B14" s="1082" t="s">
        <v>647</v>
      </c>
      <c r="C14" s="1349"/>
      <c r="D14" s="1367">
        <f>I110</f>
        <v>0</v>
      </c>
      <c r="E14" s="1351" t="e">
        <f ca="1">D14/DevCosts!$D$133</f>
        <v>#DIV/0!</v>
      </c>
      <c r="F14" s="1350">
        <f ca="1">IF(Setup!$D$6="Refinancing DOH Deal", 30, ROUND((Setup!$R$28-Setup!$R$26)/30.4+4,0))</f>
        <v>28</v>
      </c>
      <c r="G14" s="1352">
        <f ca="1">IF(G13="","",Setup!$R$26+30.417*F14)</f>
        <v>45481.090563425925</v>
      </c>
      <c r="H14" s="1353">
        <v>0</v>
      </c>
      <c r="I14" s="1362">
        <f t="shared" ca="1" si="2"/>
        <v>0</v>
      </c>
      <c r="J14" s="1355" t="str">
        <f>IF(Setup!D6="refinancing doh deal"," ","Good")</f>
        <v>Good</v>
      </c>
      <c r="K14" s="1356">
        <f>IF(Sources!$K$2="","",IF(J14="Good",0,D14))</f>
        <v>0</v>
      </c>
      <c r="L14" s="1368" t="s">
        <v>648</v>
      </c>
      <c r="M14" s="1369" t="e">
        <f>IF(('Units&amp;Income'!J94+'Units&amp;Income'!Q94+'Units&amp;Income'!X94)/'Units&amp;Income'!AV94&gt;0.39999,"Yes","No")</f>
        <v>#DIV/0!</v>
      </c>
      <c r="N14" s="1369" t="e">
        <f>M14</f>
        <v>#DIV/0!</v>
      </c>
      <c r="O14" s="1370"/>
      <c r="P14" s="1346">
        <f t="shared" si="0"/>
        <v>0</v>
      </c>
      <c r="Q14" s="1346">
        <f t="shared" si="1"/>
        <v>0</v>
      </c>
      <c r="R14" s="1346"/>
      <c r="S14" s="1346"/>
      <c r="T14" s="1346"/>
      <c r="U14" s="1346"/>
      <c r="V14" s="1346"/>
      <c r="W14" s="1346"/>
      <c r="X14" s="1346"/>
      <c r="Y14" s="1346"/>
      <c r="Z14" s="1346"/>
      <c r="AA14" s="1346"/>
      <c r="AB14" s="1346"/>
      <c r="AC14" s="1346"/>
      <c r="AD14" s="1346"/>
      <c r="AE14" s="1346"/>
      <c r="AF14" s="1346"/>
      <c r="AG14" s="1346"/>
      <c r="AH14" s="1346"/>
      <c r="AI14" s="1346"/>
      <c r="AJ14" s="1346"/>
      <c r="AK14" s="1346"/>
      <c r="AL14" s="1346"/>
      <c r="AM14" s="1346"/>
      <c r="AN14" s="1346"/>
      <c r="AO14" s="1346"/>
      <c r="AP14" s="1346"/>
      <c r="AQ14" s="1346"/>
      <c r="AR14" s="1346"/>
      <c r="AS14" s="1346"/>
      <c r="AT14" s="1346"/>
      <c r="AU14" s="1346"/>
      <c r="AV14" s="1346"/>
      <c r="AW14" s="1346"/>
      <c r="AX14" s="1346"/>
      <c r="AY14" s="1346"/>
      <c r="AZ14" s="1346"/>
      <c r="BA14" s="1346"/>
      <c r="BB14" s="1346"/>
      <c r="BC14" s="1346"/>
      <c r="BD14" s="1346"/>
      <c r="BE14" s="1346"/>
      <c r="BF14" s="1346"/>
      <c r="BG14" s="1346"/>
      <c r="BH14" s="1346"/>
      <c r="BI14" s="1346"/>
      <c r="BJ14" s="1346"/>
      <c r="BK14" s="1346"/>
      <c r="BL14" s="1346"/>
      <c r="BM14" s="1346"/>
      <c r="BN14" s="1346"/>
      <c r="BO14" s="1346"/>
      <c r="BP14" s="1346"/>
      <c r="BQ14" s="1346"/>
      <c r="BR14" s="1346"/>
      <c r="BS14" s="1346"/>
      <c r="BT14" s="1346"/>
      <c r="BU14" s="1346"/>
      <c r="BV14" s="1346"/>
      <c r="BW14" s="1346"/>
      <c r="BX14" s="1346"/>
      <c r="BY14" s="1346"/>
      <c r="BZ14" s="1346"/>
      <c r="CA14" s="1346"/>
      <c r="CB14" s="1346"/>
      <c r="CC14" s="1346"/>
    </row>
    <row r="15" spans="1:81">
      <c r="A15" s="1347">
        <v>5</v>
      </c>
      <c r="B15" s="1082" t="s">
        <v>649</v>
      </c>
      <c r="C15" s="1349"/>
      <c r="D15" s="1357">
        <v>0</v>
      </c>
      <c r="E15" s="1351" t="e">
        <f ca="1">D15/DevCosts!$D$133</f>
        <v>#DIV/0!</v>
      </c>
      <c r="F15" s="1350">
        <f ca="1">IF(Setup!$D$6="Refinancing DOH Deal", 30, ROUND((Setup!$R$28-Setup!$R$26)/30.4+4,0))</f>
        <v>28</v>
      </c>
      <c r="G15" s="1352">
        <f ca="1">IF(G14="","",Setup!$R$26+30.417*F15)</f>
        <v>45481.090563425925</v>
      </c>
      <c r="H15" s="1353">
        <v>0.06</v>
      </c>
      <c r="I15" s="1362">
        <f t="shared" ca="1" si="2"/>
        <v>0</v>
      </c>
      <c r="J15" s="1355" t="str">
        <f>IF(Setup!D$6="refinancing doh deal"," ","Good")</f>
        <v>Good</v>
      </c>
      <c r="K15" s="1356">
        <f>IF(Sources!$K$2="","",IF(J15="Good",0,D15))</f>
        <v>0</v>
      </c>
      <c r="L15" s="1346"/>
      <c r="M15" s="1346"/>
      <c r="N15" s="1346"/>
      <c r="O15" s="1346"/>
      <c r="P15" s="1346">
        <f t="shared" si="0"/>
        <v>0</v>
      </c>
      <c r="Q15" s="1346">
        <f t="shared" si="1"/>
        <v>0</v>
      </c>
      <c r="R15" s="1346"/>
      <c r="S15" s="1346"/>
      <c r="T15" s="1346"/>
      <c r="U15" s="1346"/>
      <c r="V15" s="1346"/>
      <c r="W15" s="1346"/>
      <c r="X15" s="1346"/>
      <c r="Y15" s="1346"/>
      <c r="Z15" s="1346"/>
      <c r="AA15" s="1346"/>
      <c r="AB15" s="1346"/>
      <c r="AC15" s="1346"/>
      <c r="AD15" s="1346"/>
      <c r="AE15" s="1346"/>
      <c r="AF15" s="1346"/>
      <c r="AG15" s="1346"/>
      <c r="AH15" s="1346"/>
      <c r="AI15" s="1346"/>
      <c r="AJ15" s="1346"/>
      <c r="AK15" s="1346"/>
      <c r="AL15" s="1346"/>
      <c r="AM15" s="1346"/>
      <c r="AN15" s="1346"/>
      <c r="AO15" s="1346"/>
      <c r="AP15" s="1346"/>
      <c r="AQ15" s="1346"/>
      <c r="AR15" s="1346"/>
      <c r="AS15" s="1346"/>
      <c r="AT15" s="1346"/>
      <c r="AU15" s="1346"/>
      <c r="AV15" s="1346"/>
      <c r="AW15" s="1346"/>
      <c r="AX15" s="1346"/>
      <c r="AY15" s="1346"/>
      <c r="AZ15" s="1346"/>
      <c r="BA15" s="1346"/>
      <c r="BB15" s="1346"/>
      <c r="BC15" s="1346"/>
      <c r="BD15" s="1346"/>
      <c r="BE15" s="1346"/>
      <c r="BF15" s="1346"/>
      <c r="BG15" s="1346"/>
      <c r="BH15" s="1346"/>
      <c r="BI15" s="1346"/>
      <c r="BJ15" s="1346"/>
      <c r="BK15" s="1346"/>
      <c r="BL15" s="1346"/>
      <c r="BM15" s="1346"/>
      <c r="BN15" s="1346"/>
      <c r="BO15" s="1346"/>
      <c r="BP15" s="1346"/>
      <c r="BQ15" s="1346"/>
      <c r="BR15" s="1346"/>
      <c r="BS15" s="1346"/>
      <c r="BT15" s="1346"/>
      <c r="BU15" s="1346"/>
      <c r="BV15" s="1346"/>
      <c r="BW15" s="1346"/>
      <c r="BX15" s="1346"/>
      <c r="BY15" s="1346"/>
      <c r="BZ15" s="1346"/>
      <c r="CA15" s="1346"/>
      <c r="CB15" s="1346"/>
      <c r="CC15" s="1346"/>
    </row>
    <row r="16" spans="1:81">
      <c r="A16" s="1347">
        <v>5</v>
      </c>
      <c r="B16" s="1082" t="s">
        <v>650</v>
      </c>
      <c r="C16" s="1349"/>
      <c r="D16" s="1357">
        <v>0</v>
      </c>
      <c r="E16" s="1351" t="e">
        <f ca="1">D16/DevCosts!$D$133</f>
        <v>#DIV/0!</v>
      </c>
      <c r="F16" s="1350">
        <f ca="1">IF(Setup!$D$6="Refinancing DOH Deal", 30, ROUND((Setup!$R$28-Setup!$R$26)/30.4+4,0))</f>
        <v>28</v>
      </c>
      <c r="G16" s="1352">
        <f ca="1">IF(G15="","",Setup!$R$26+30.417*F16)</f>
        <v>45481.090563425925</v>
      </c>
      <c r="H16" s="1371"/>
      <c r="I16" s="1371"/>
      <c r="J16" s="1355" t="str">
        <f>IF(Setup!D$6="refinancing doh deal"," ","Good")</f>
        <v>Good</v>
      </c>
      <c r="K16" s="1356">
        <f>IF(Sources!$K$2="","",IF(J16="Good",0,D16))</f>
        <v>0</v>
      </c>
      <c r="L16" s="1346"/>
      <c r="M16" s="1346"/>
      <c r="N16" s="1346"/>
      <c r="O16" s="1346"/>
      <c r="P16" s="1346">
        <f t="shared" si="0"/>
        <v>0</v>
      </c>
      <c r="Q16" s="1346">
        <f t="shared" si="1"/>
        <v>0</v>
      </c>
      <c r="R16" s="1346"/>
      <c r="S16" s="1346"/>
      <c r="T16" s="1346"/>
      <c r="U16" s="1346"/>
      <c r="V16" s="1346"/>
      <c r="W16" s="1346"/>
      <c r="X16" s="1346"/>
      <c r="Y16" s="1346"/>
      <c r="Z16" s="1346"/>
      <c r="AA16" s="1346"/>
      <c r="AB16" s="1346"/>
      <c r="AC16" s="1346"/>
      <c r="AD16" s="1346"/>
      <c r="AE16" s="1346"/>
      <c r="AF16" s="1346"/>
      <c r="AG16" s="1346"/>
      <c r="AH16" s="1346"/>
      <c r="AI16" s="1346"/>
      <c r="AJ16" s="1346"/>
      <c r="AK16" s="1346"/>
      <c r="AL16" s="1346"/>
      <c r="AM16" s="1346"/>
      <c r="AN16" s="1346"/>
      <c r="AO16" s="1346"/>
      <c r="AP16" s="1346"/>
      <c r="AQ16" s="1346"/>
      <c r="AR16" s="1346"/>
      <c r="AS16" s="1346"/>
      <c r="AT16" s="1346"/>
      <c r="AU16" s="1346"/>
      <c r="AV16" s="1346"/>
      <c r="AW16" s="1346"/>
      <c r="AX16" s="1346"/>
      <c r="AY16" s="1346"/>
      <c r="AZ16" s="1346"/>
      <c r="BA16" s="1346"/>
      <c r="BB16" s="1346"/>
      <c r="BC16" s="1346"/>
      <c r="BD16" s="1346"/>
      <c r="BE16" s="1346"/>
      <c r="BF16" s="1346"/>
      <c r="BG16" s="1346"/>
      <c r="BH16" s="1346"/>
      <c r="BI16" s="1346"/>
      <c r="BJ16" s="1346"/>
      <c r="BK16" s="1346"/>
      <c r="BL16" s="1346"/>
      <c r="BM16" s="1346"/>
      <c r="BN16" s="1346"/>
      <c r="BO16" s="1346"/>
      <c r="BP16" s="1346"/>
      <c r="BQ16" s="1346"/>
      <c r="BR16" s="1346"/>
      <c r="BS16" s="1346"/>
      <c r="BT16" s="1346"/>
      <c r="BU16" s="1346"/>
      <c r="BV16" s="1346"/>
      <c r="BW16" s="1346"/>
      <c r="BX16" s="1346"/>
      <c r="BY16" s="1346"/>
      <c r="BZ16" s="1346"/>
      <c r="CA16" s="1346"/>
      <c r="CB16" s="1346"/>
      <c r="CC16" s="1346"/>
    </row>
    <row r="17" spans="1:81">
      <c r="A17" s="1347">
        <v>6</v>
      </c>
      <c r="B17" s="1348" t="s">
        <v>651</v>
      </c>
      <c r="C17" s="1349"/>
      <c r="D17" s="1357">
        <v>0</v>
      </c>
      <c r="E17" s="1351" t="e">
        <f ca="1">D17/DevCosts!$D$133</f>
        <v>#DIV/0!</v>
      </c>
      <c r="F17" s="1350">
        <f ca="1">IF(Setup!$D$6="Refinancing DOH Deal", 30, ROUND((Setup!$R$28-Setup!$R$26)/30.4+4,0))</f>
        <v>28</v>
      </c>
      <c r="G17" s="1352">
        <f ca="1">IF(G16="","",Setup!$R$26+30.417*F17)</f>
        <v>45481.090563425925</v>
      </c>
      <c r="H17" s="1371"/>
      <c r="I17" s="1371"/>
      <c r="J17" s="1355" t="str">
        <f>IF(Setup!D$6="refinancing doh deal"," ","Good")</f>
        <v>Good</v>
      </c>
      <c r="K17" s="1356">
        <f>IF(Sources!$K$2="","",IF(J17="Good",0,D17))</f>
        <v>0</v>
      </c>
      <c r="L17" s="1346"/>
      <c r="M17" s="1346"/>
      <c r="N17" s="1346"/>
      <c r="O17" s="1346"/>
      <c r="P17" s="1346">
        <f t="shared" si="0"/>
        <v>0</v>
      </c>
      <c r="Q17" s="1346">
        <f t="shared" si="1"/>
        <v>0</v>
      </c>
      <c r="R17" s="1346"/>
      <c r="S17" s="1346"/>
      <c r="T17" s="1346"/>
      <c r="U17" s="1346"/>
      <c r="V17" s="1346"/>
      <c r="W17" s="1346"/>
      <c r="X17" s="1346"/>
      <c r="Y17" s="1346"/>
      <c r="Z17" s="1346"/>
      <c r="AA17" s="1346"/>
      <c r="AB17" s="1346"/>
      <c r="AC17" s="1346"/>
      <c r="AD17" s="1346"/>
      <c r="AE17" s="1346"/>
      <c r="AF17" s="1346"/>
      <c r="AG17" s="1346"/>
      <c r="AH17" s="1346"/>
      <c r="AI17" s="1346"/>
      <c r="AJ17" s="1346"/>
      <c r="AK17" s="1346"/>
      <c r="AL17" s="1346"/>
      <c r="AM17" s="1346"/>
      <c r="AN17" s="1346"/>
      <c r="AO17" s="1346"/>
      <c r="AP17" s="1346"/>
      <c r="AQ17" s="1346"/>
      <c r="AR17" s="1346"/>
      <c r="AS17" s="1346"/>
      <c r="AT17" s="1346"/>
      <c r="AU17" s="1346"/>
      <c r="AV17" s="1346"/>
      <c r="AW17" s="1346"/>
      <c r="AX17" s="1346"/>
      <c r="AY17" s="1346"/>
      <c r="AZ17" s="1346"/>
      <c r="BA17" s="1346"/>
      <c r="BB17" s="1346"/>
      <c r="BC17" s="1346"/>
      <c r="BD17" s="1346"/>
      <c r="BE17" s="1346"/>
      <c r="BF17" s="1346"/>
      <c r="BG17" s="1346"/>
      <c r="BH17" s="1346"/>
      <c r="BI17" s="1346"/>
      <c r="BJ17" s="1346"/>
      <c r="BK17" s="1346"/>
      <c r="BL17" s="1346"/>
      <c r="BM17" s="1346"/>
      <c r="BN17" s="1346"/>
      <c r="BO17" s="1346"/>
      <c r="BP17" s="1346"/>
      <c r="BQ17" s="1346"/>
      <c r="BR17" s="1346"/>
      <c r="BS17" s="1346"/>
      <c r="BT17" s="1346"/>
      <c r="BU17" s="1346"/>
      <c r="BV17" s="1346"/>
      <c r="BW17" s="1346"/>
      <c r="BX17" s="1346"/>
      <c r="BY17" s="1346"/>
      <c r="BZ17" s="1346"/>
      <c r="CA17" s="1346"/>
      <c r="CB17" s="1346"/>
      <c r="CC17" s="1346"/>
    </row>
    <row r="18" spans="1:81">
      <c r="A18" s="1347">
        <v>6</v>
      </c>
      <c r="B18" s="1348" t="s">
        <v>652</v>
      </c>
      <c r="C18" s="1349"/>
      <c r="D18" s="1357">
        <v>0</v>
      </c>
      <c r="E18" s="1351" t="e">
        <f ca="1">D18/DevCosts!$D$133</f>
        <v>#DIV/0!</v>
      </c>
      <c r="F18" s="1350">
        <f ca="1">IF(Setup!$D$6="Refinancing DOH Deal", 30, ROUND((Setup!$R$28-Setup!$R$26)/30.4+4,0))</f>
        <v>28</v>
      </c>
      <c r="G18" s="1352">
        <f ca="1">IF(G17="","",Setup!$R$26+30.417*F18)</f>
        <v>45481.090563425925</v>
      </c>
      <c r="H18" s="1371"/>
      <c r="I18" s="1371"/>
      <c r="J18" s="1355" t="str">
        <f>IF(Setup!D$6="refinancing doh deal"," ","Good")</f>
        <v>Good</v>
      </c>
      <c r="K18" s="1356">
        <f>IF(Sources!$K$2="","",IF(J18="Good",0,D18))</f>
        <v>0</v>
      </c>
      <c r="L18" s="1346"/>
      <c r="M18" s="1346"/>
      <c r="N18" s="1346"/>
      <c r="O18" s="1346"/>
      <c r="P18" s="1346">
        <f t="shared" si="0"/>
        <v>0</v>
      </c>
      <c r="Q18" s="1346">
        <f t="shared" si="1"/>
        <v>0</v>
      </c>
      <c r="R18" s="1346"/>
      <c r="S18" s="1346"/>
      <c r="T18" s="1346"/>
      <c r="U18" s="1346"/>
      <c r="V18" s="1346"/>
      <c r="W18" s="1346"/>
      <c r="X18" s="1346"/>
      <c r="Y18" s="1346"/>
      <c r="Z18" s="1346"/>
      <c r="AA18" s="1346"/>
      <c r="AB18" s="1346"/>
      <c r="AC18" s="1346"/>
      <c r="AD18" s="1346"/>
      <c r="AE18" s="1346"/>
      <c r="AF18" s="1346"/>
      <c r="AG18" s="1346"/>
      <c r="AH18" s="1346"/>
      <c r="AI18" s="1346"/>
      <c r="AJ18" s="1346"/>
      <c r="AK18" s="1346"/>
      <c r="AL18" s="1346"/>
      <c r="AM18" s="1346"/>
      <c r="AN18" s="1346"/>
      <c r="AO18" s="1346"/>
      <c r="AP18" s="1346"/>
      <c r="AQ18" s="1346"/>
      <c r="AR18" s="1346"/>
      <c r="AS18" s="1346"/>
      <c r="AT18" s="1346"/>
      <c r="AU18" s="1346"/>
      <c r="AV18" s="1346"/>
      <c r="AW18" s="1346"/>
      <c r="AX18" s="1346"/>
      <c r="AY18" s="1346"/>
      <c r="AZ18" s="1346"/>
      <c r="BA18" s="1346"/>
      <c r="BB18" s="1346"/>
      <c r="BC18" s="1346"/>
      <c r="BD18" s="1346"/>
      <c r="BE18" s="1346"/>
      <c r="BF18" s="1346"/>
      <c r="BG18" s="1346"/>
      <c r="BH18" s="1346"/>
      <c r="BI18" s="1346"/>
      <c r="BJ18" s="1346"/>
      <c r="BK18" s="1346"/>
      <c r="BL18" s="1346"/>
      <c r="BM18" s="1346"/>
      <c r="BN18" s="1346"/>
      <c r="BO18" s="1346"/>
      <c r="BP18" s="1346"/>
      <c r="BQ18" s="1346"/>
      <c r="BR18" s="1346"/>
      <c r="BS18" s="1346"/>
      <c r="BT18" s="1346"/>
      <c r="BU18" s="1346"/>
      <c r="BV18" s="1346"/>
      <c r="BW18" s="1346"/>
      <c r="BX18" s="1346"/>
      <c r="BY18" s="1346"/>
      <c r="BZ18" s="1346"/>
      <c r="CA18" s="1346"/>
      <c r="CB18" s="1346"/>
      <c r="CC18" s="1346"/>
    </row>
    <row r="19" spans="1:81">
      <c r="A19" s="1347">
        <v>6</v>
      </c>
      <c r="B19" s="1348" t="s">
        <v>653</v>
      </c>
      <c r="C19" s="1349"/>
      <c r="D19" s="1357">
        <v>0</v>
      </c>
      <c r="E19" s="1351" t="e">
        <f ca="1">D19/DevCosts!$D$133</f>
        <v>#DIV/0!</v>
      </c>
      <c r="F19" s="1350">
        <f ca="1">IF(Setup!$D$6="Refinancing DOH Deal", 30, ROUND((Setup!$R$28-Setup!$R$26)/30.4+4,0))</f>
        <v>28</v>
      </c>
      <c r="G19" s="1352">
        <f ca="1">IF(G18="","",Setup!$R$26+30.417*F19)</f>
        <v>45481.090563425925</v>
      </c>
      <c r="H19" s="1371"/>
      <c r="I19" s="1371"/>
      <c r="J19" s="1355" t="str">
        <f>IF(Setup!D$6="refinancing doh deal"," ","Good")</f>
        <v>Good</v>
      </c>
      <c r="K19" s="1356">
        <f>IF(Sources!$K$2="","",IF(J19="Good",0,D19))</f>
        <v>0</v>
      </c>
      <c r="L19" s="1346"/>
      <c r="M19" s="1346"/>
      <c r="N19" s="1346"/>
      <c r="O19" s="1346"/>
      <c r="P19" s="1346">
        <f t="shared" si="0"/>
        <v>0</v>
      </c>
      <c r="Q19" s="1346">
        <f t="shared" si="1"/>
        <v>0</v>
      </c>
      <c r="R19" s="1346"/>
      <c r="S19" s="1346"/>
      <c r="T19" s="1346"/>
      <c r="U19" s="1346"/>
      <c r="V19" s="1346"/>
      <c r="W19" s="1346"/>
      <c r="X19" s="1346"/>
      <c r="Y19" s="1346"/>
      <c r="Z19" s="1346"/>
      <c r="AA19" s="1346"/>
      <c r="AB19" s="1346"/>
      <c r="AC19" s="1346"/>
      <c r="AD19" s="1346"/>
      <c r="AE19" s="1346"/>
      <c r="AF19" s="1346"/>
      <c r="AG19" s="1346"/>
      <c r="AH19" s="1346"/>
      <c r="AI19" s="1346"/>
      <c r="AJ19" s="1346"/>
      <c r="AK19" s="1346"/>
      <c r="AL19" s="1346"/>
      <c r="AM19" s="1346"/>
      <c r="AN19" s="1346"/>
      <c r="AO19" s="1346"/>
      <c r="AP19" s="1346"/>
      <c r="AQ19" s="1346"/>
      <c r="AR19" s="1346"/>
      <c r="AS19" s="1346"/>
      <c r="AT19" s="1346"/>
      <c r="AU19" s="1346"/>
      <c r="AV19" s="1346"/>
      <c r="AW19" s="1346"/>
      <c r="AX19" s="1346"/>
      <c r="AY19" s="1346"/>
      <c r="AZ19" s="1346"/>
      <c r="BA19" s="1346"/>
      <c r="BB19" s="1346"/>
      <c r="BC19" s="1346"/>
      <c r="BD19" s="1346"/>
      <c r="BE19" s="1346"/>
      <c r="BF19" s="1346"/>
      <c r="BG19" s="1346"/>
      <c r="BH19" s="1346"/>
      <c r="BI19" s="1346"/>
      <c r="BJ19" s="1346"/>
      <c r="BK19" s="1346"/>
      <c r="BL19" s="1346"/>
      <c r="BM19" s="1346"/>
      <c r="BN19" s="1346"/>
      <c r="BO19" s="1346"/>
      <c r="BP19" s="1346"/>
      <c r="BQ19" s="1346"/>
      <c r="BR19" s="1346"/>
      <c r="BS19" s="1346"/>
      <c r="BT19" s="1346"/>
      <c r="BU19" s="1346"/>
      <c r="BV19" s="1346"/>
      <c r="BW19" s="1346"/>
      <c r="BX19" s="1346"/>
      <c r="BY19" s="1346"/>
      <c r="BZ19" s="1346"/>
      <c r="CA19" s="1346"/>
      <c r="CB19" s="1346"/>
      <c r="CC19" s="1346"/>
    </row>
    <row r="20" spans="1:81">
      <c r="A20" s="1347">
        <v>6</v>
      </c>
      <c r="B20" s="1348" t="s">
        <v>654</v>
      </c>
      <c r="C20" s="1349"/>
      <c r="D20" s="1357">
        <v>0</v>
      </c>
      <c r="E20" s="1351" t="e">
        <f ca="1">D20/DevCosts!$D$133</f>
        <v>#DIV/0!</v>
      </c>
      <c r="F20" s="1350">
        <f ca="1">IF(Setup!$D$6="Refinancing DOH Deal", 30, ROUND((Setup!$R$28-Setup!$R$26)/30.4+4,0))</f>
        <v>28</v>
      </c>
      <c r="G20" s="1352">
        <f ca="1">IF(G19="","",Setup!$R$26+30.417*F20)</f>
        <v>45481.090563425925</v>
      </c>
      <c r="H20" s="1371"/>
      <c r="I20" s="1371"/>
      <c r="J20" s="1355" t="str">
        <f>IF(Setup!D$6="refinancing doh deal"," ","Good")</f>
        <v>Good</v>
      </c>
      <c r="K20" s="1356">
        <f>IF(Sources!$K$2="","",IF(J20="Good",0,D20))</f>
        <v>0</v>
      </c>
      <c r="L20" s="1346"/>
      <c r="M20" s="1346"/>
      <c r="N20" s="1346"/>
      <c r="O20" s="1346"/>
      <c r="P20" s="1346">
        <f t="shared" si="0"/>
        <v>0</v>
      </c>
      <c r="Q20" s="1346">
        <f t="shared" si="1"/>
        <v>0</v>
      </c>
      <c r="R20" s="1346"/>
      <c r="S20" s="1346"/>
      <c r="T20" s="1346"/>
      <c r="U20" s="1346"/>
      <c r="V20" s="1346"/>
      <c r="W20" s="1346"/>
      <c r="X20" s="1346"/>
      <c r="Y20" s="1346"/>
      <c r="Z20" s="1346"/>
      <c r="AA20" s="1346"/>
      <c r="AB20" s="1346"/>
      <c r="AC20" s="1346"/>
      <c r="AD20" s="1346"/>
      <c r="AE20" s="1346"/>
      <c r="AF20" s="1346"/>
      <c r="AG20" s="1346"/>
      <c r="AH20" s="1346"/>
      <c r="AI20" s="1346"/>
      <c r="AJ20" s="1346"/>
      <c r="AK20" s="1346"/>
      <c r="AL20" s="1346"/>
      <c r="AM20" s="1346"/>
      <c r="AN20" s="1346"/>
      <c r="AO20" s="1346"/>
      <c r="AP20" s="1346"/>
      <c r="AQ20" s="1346"/>
      <c r="AR20" s="1346"/>
      <c r="AS20" s="1346"/>
      <c r="AT20" s="1346"/>
      <c r="AU20" s="1346"/>
      <c r="AV20" s="1346"/>
      <c r="AW20" s="1346"/>
      <c r="AX20" s="1346"/>
      <c r="AY20" s="1346"/>
      <c r="AZ20" s="1346"/>
      <c r="BA20" s="1346"/>
      <c r="BB20" s="1346"/>
      <c r="BC20" s="1346"/>
      <c r="BD20" s="1346"/>
      <c r="BE20" s="1346"/>
      <c r="BF20" s="1346"/>
      <c r="BG20" s="1346"/>
      <c r="BH20" s="1346"/>
      <c r="BI20" s="1346"/>
      <c r="BJ20" s="1346"/>
      <c r="BK20" s="1346"/>
      <c r="BL20" s="1346"/>
      <c r="BM20" s="1346"/>
      <c r="BN20" s="1346"/>
      <c r="BO20" s="1346"/>
      <c r="BP20" s="1346"/>
      <c r="BQ20" s="1346"/>
      <c r="BR20" s="1346"/>
      <c r="BS20" s="1346"/>
      <c r="BT20" s="1346"/>
      <c r="BU20" s="1346"/>
      <c r="BV20" s="1346"/>
      <c r="BW20" s="1346"/>
      <c r="BX20" s="1346"/>
      <c r="BY20" s="1346"/>
      <c r="BZ20" s="1346"/>
      <c r="CA20" s="1346"/>
      <c r="CB20" s="1346"/>
      <c r="CC20" s="1346"/>
    </row>
    <row r="21" spans="1:81">
      <c r="A21" s="1347">
        <v>6</v>
      </c>
      <c r="B21" s="1082" t="s">
        <v>394</v>
      </c>
      <c r="C21" s="1372">
        <f>Setup!D17</f>
        <v>0</v>
      </c>
      <c r="D21" s="1357">
        <v>0</v>
      </c>
      <c r="E21" s="1351" t="e">
        <f ca="1">D21/DevCosts!$D$133</f>
        <v>#DIV/0!</v>
      </c>
      <c r="F21" s="1371"/>
      <c r="G21" s="1373"/>
      <c r="H21" s="1371"/>
      <c r="I21" s="1371"/>
      <c r="J21" s="1355" t="str">
        <f>IF(Setup!D$6="refinancing doh deal"," ","Good")</f>
        <v>Good</v>
      </c>
      <c r="K21" s="1356">
        <f>IF(Sources!$K$2="","",IF(J21="Good",0,D21))</f>
        <v>0</v>
      </c>
      <c r="L21" s="1346"/>
      <c r="M21" s="1346"/>
      <c r="N21" s="1346"/>
      <c r="O21" s="1346"/>
      <c r="P21" s="1346">
        <f t="shared" si="0"/>
        <v>0</v>
      </c>
      <c r="Q21" s="1346">
        <f t="shared" si="1"/>
        <v>0</v>
      </c>
      <c r="R21" s="1346"/>
      <c r="S21" s="1346"/>
      <c r="T21" s="1346"/>
      <c r="U21" s="1346"/>
      <c r="V21" s="1346"/>
      <c r="W21" s="1346"/>
      <c r="X21" s="1346"/>
      <c r="Y21" s="1346"/>
      <c r="Z21" s="1346"/>
      <c r="AA21" s="1346"/>
      <c r="AB21" s="1346"/>
      <c r="AC21" s="1346"/>
      <c r="AD21" s="1346"/>
      <c r="AE21" s="1346"/>
      <c r="AF21" s="1346"/>
      <c r="AG21" s="1346"/>
      <c r="AH21" s="1346"/>
      <c r="AI21" s="1346"/>
      <c r="AJ21" s="1346"/>
      <c r="AK21" s="1346"/>
      <c r="AL21" s="1346"/>
      <c r="AM21" s="1346"/>
      <c r="AN21" s="1346"/>
      <c r="AO21" s="1346"/>
      <c r="AP21" s="1346"/>
      <c r="AQ21" s="1346"/>
      <c r="AR21" s="1346"/>
      <c r="AS21" s="1346"/>
      <c r="AT21" s="1346"/>
      <c r="AU21" s="1346"/>
      <c r="AV21" s="1346"/>
      <c r="AW21" s="1346"/>
      <c r="AX21" s="1346"/>
      <c r="AY21" s="1346"/>
      <c r="AZ21" s="1346"/>
      <c r="BA21" s="1346"/>
      <c r="BB21" s="1346"/>
      <c r="BC21" s="1346"/>
      <c r="BD21" s="1346"/>
      <c r="BE21" s="1346"/>
      <c r="BF21" s="1346"/>
      <c r="BG21" s="1346"/>
      <c r="BH21" s="1346"/>
      <c r="BI21" s="1346"/>
      <c r="BJ21" s="1346"/>
      <c r="BK21" s="1346"/>
      <c r="BL21" s="1346"/>
      <c r="BM21" s="1346"/>
      <c r="BN21" s="1346"/>
      <c r="BO21" s="1346"/>
      <c r="BP21" s="1346"/>
      <c r="BQ21" s="1346"/>
      <c r="BR21" s="1346"/>
      <c r="BS21" s="1346"/>
      <c r="BT21" s="1346"/>
      <c r="BU21" s="1346"/>
      <c r="BV21" s="1346"/>
      <c r="BW21" s="1346"/>
      <c r="BX21" s="1346"/>
      <c r="BY21" s="1346"/>
      <c r="BZ21" s="1346"/>
      <c r="CA21" s="1346"/>
      <c r="CB21" s="1346"/>
      <c r="CC21" s="1346"/>
    </row>
    <row r="22" spans="1:81">
      <c r="A22" s="1347">
        <v>6</v>
      </c>
      <c r="B22" s="1082" t="s">
        <v>655</v>
      </c>
      <c r="C22" s="1349" t="s">
        <v>656</v>
      </c>
      <c r="D22" s="1374">
        <v>100</v>
      </c>
      <c r="E22" s="1351" t="e">
        <f ca="1">D22/DevCosts!$D$133</f>
        <v>#DIV/0!</v>
      </c>
      <c r="F22" s="1371"/>
      <c r="G22" s="1373"/>
      <c r="H22" s="1371"/>
      <c r="I22" s="1371"/>
      <c r="J22" s="1355" t="str">
        <f>IF(Setup!D$6="refinancing doh deal"," ","Good")</f>
        <v>Good</v>
      </c>
      <c r="K22" s="1356">
        <f>IF(Sources!$K$2="","",IF(J22="Good",0,D22))</f>
        <v>0</v>
      </c>
      <c r="L22" s="1346"/>
      <c r="M22" s="1346"/>
      <c r="N22" s="1346"/>
      <c r="O22" s="1346"/>
      <c r="P22" s="1346">
        <f t="shared" si="0"/>
        <v>0</v>
      </c>
      <c r="Q22" s="1346">
        <f t="shared" si="1"/>
        <v>0</v>
      </c>
      <c r="R22" s="1346"/>
      <c r="S22" s="1346"/>
      <c r="T22" s="1346"/>
      <c r="U22" s="1346"/>
      <c r="V22" s="1346"/>
      <c r="W22" s="1346"/>
      <c r="X22" s="1346"/>
      <c r="Y22" s="1346"/>
      <c r="Z22" s="1346"/>
      <c r="AA22" s="1346"/>
      <c r="AB22" s="1346"/>
      <c r="AC22" s="1346"/>
      <c r="AD22" s="1346"/>
      <c r="AE22" s="1346"/>
      <c r="AF22" s="1346"/>
      <c r="AG22" s="1346"/>
      <c r="AH22" s="1346"/>
      <c r="AI22" s="1346"/>
      <c r="AJ22" s="1346"/>
      <c r="AK22" s="1346"/>
      <c r="AL22" s="1346"/>
      <c r="AM22" s="1346"/>
      <c r="AN22" s="1346"/>
      <c r="AO22" s="1346"/>
      <c r="AP22" s="1346"/>
      <c r="AQ22" s="1346"/>
      <c r="AR22" s="1346"/>
      <c r="AS22" s="1346"/>
      <c r="AT22" s="1346"/>
      <c r="AU22" s="1346"/>
      <c r="AV22" s="1346"/>
      <c r="AW22" s="1346"/>
      <c r="AX22" s="1346"/>
      <c r="AY22" s="1346"/>
      <c r="AZ22" s="1346"/>
      <c r="BA22" s="1346"/>
      <c r="BB22" s="1346"/>
      <c r="BC22" s="1346"/>
      <c r="BD22" s="1346"/>
      <c r="BE22" s="1346"/>
      <c r="BF22" s="1346"/>
      <c r="BG22" s="1346"/>
      <c r="BH22" s="1346"/>
      <c r="BI22" s="1346"/>
      <c r="BJ22" s="1346"/>
      <c r="BK22" s="1346"/>
      <c r="BL22" s="1346"/>
      <c r="BM22" s="1346"/>
      <c r="BN22" s="1346"/>
      <c r="BO22" s="1346"/>
      <c r="BP22" s="1346"/>
      <c r="BQ22" s="1346"/>
      <c r="BR22" s="1346"/>
      <c r="BS22" s="1346"/>
      <c r="BT22" s="1346"/>
      <c r="BU22" s="1346"/>
      <c r="BV22" s="1346"/>
      <c r="BW22" s="1346"/>
      <c r="BX22" s="1346"/>
      <c r="BY22" s="1346"/>
      <c r="BZ22" s="1346"/>
      <c r="CA22" s="1346"/>
      <c r="CB22" s="1346"/>
      <c r="CC22" s="1346"/>
    </row>
    <row r="23" spans="1:81" ht="13.7" customHeight="1">
      <c r="A23" s="1347">
        <v>7</v>
      </c>
      <c r="B23" s="1082" t="s">
        <v>657</v>
      </c>
      <c r="C23" s="1349" t="s">
        <v>658</v>
      </c>
      <c r="D23" s="1375">
        <f>Setup!L25-D8</f>
        <v>0</v>
      </c>
      <c r="E23" s="1351" t="e">
        <f ca="1">D23/DevCosts!$D$133</f>
        <v>#DIV/0!</v>
      </c>
      <c r="F23" s="1371"/>
      <c r="G23" s="1373"/>
      <c r="H23" s="1371"/>
      <c r="I23" s="1371"/>
      <c r="J23" s="1376"/>
      <c r="K23" s="1377"/>
      <c r="L23" s="1346"/>
      <c r="M23" s="1346"/>
      <c r="N23" s="1346"/>
      <c r="O23" s="1346"/>
      <c r="P23" s="1346">
        <f t="shared" si="0"/>
        <v>0</v>
      </c>
      <c r="Q23" s="1346">
        <f t="shared" si="1"/>
        <v>0</v>
      </c>
      <c r="R23" s="1346"/>
      <c r="S23" s="1346"/>
      <c r="T23" s="1346"/>
      <c r="U23" s="1346"/>
      <c r="V23" s="1346"/>
      <c r="W23" s="1346"/>
      <c r="X23" s="1346"/>
      <c r="Y23" s="1346"/>
      <c r="Z23" s="1346"/>
      <c r="AA23" s="1346"/>
      <c r="AB23" s="1346"/>
      <c r="AC23" s="1346"/>
      <c r="AD23" s="1346"/>
      <c r="AE23" s="1346"/>
      <c r="AF23" s="1346"/>
      <c r="AG23" s="1346"/>
      <c r="AH23" s="1346"/>
      <c r="AI23" s="1346"/>
      <c r="AJ23" s="1346"/>
      <c r="AK23" s="1346"/>
      <c r="AL23" s="1346"/>
      <c r="AM23" s="1346"/>
      <c r="AN23" s="1346"/>
      <c r="AO23" s="1346"/>
      <c r="AP23" s="1346"/>
      <c r="AQ23" s="1346"/>
      <c r="AR23" s="1346"/>
      <c r="AS23" s="1346"/>
      <c r="AT23" s="1346"/>
      <c r="AU23" s="1346"/>
      <c r="AV23" s="1346"/>
      <c r="AW23" s="1346"/>
      <c r="AX23" s="1346"/>
      <c r="AY23" s="1346"/>
      <c r="AZ23" s="1346"/>
      <c r="BA23" s="1346"/>
      <c r="BB23" s="1346"/>
      <c r="BC23" s="1346"/>
      <c r="BD23" s="1346"/>
      <c r="BE23" s="1346"/>
      <c r="BF23" s="1346"/>
      <c r="BG23" s="1346"/>
      <c r="BH23" s="1346"/>
      <c r="BI23" s="1346"/>
      <c r="BJ23" s="1346"/>
      <c r="BK23" s="1346"/>
      <c r="BL23" s="1346"/>
      <c r="BM23" s="1346"/>
      <c r="BN23" s="1346"/>
      <c r="BO23" s="1346"/>
      <c r="BP23" s="1346"/>
      <c r="BQ23" s="1346"/>
      <c r="BR23" s="1346"/>
      <c r="BS23" s="1346"/>
      <c r="BT23" s="1346"/>
      <c r="BU23" s="1346"/>
      <c r="BV23" s="1346"/>
      <c r="BW23" s="1346"/>
      <c r="BX23" s="1346"/>
      <c r="BY23" s="1346"/>
      <c r="BZ23" s="1346"/>
      <c r="CA23" s="1346"/>
      <c r="CB23" s="1346"/>
      <c r="CC23" s="1346"/>
    </row>
    <row r="24" spans="1:81" s="324" customFormat="1" ht="12.75" customHeight="1">
      <c r="A24" s="318" t="s">
        <v>528</v>
      </c>
      <c r="B24" s="319"/>
      <c r="C24" s="320"/>
      <c r="D24" s="321">
        <f>SUM(D3:D23)</f>
        <v>100</v>
      </c>
      <c r="E24" s="726" t="e">
        <f ca="1">D24/DevCosts!$D$133</f>
        <v>#DIV/0!</v>
      </c>
      <c r="F24" s="1947" t="str">
        <f>IF(Setup!D6="refinancing doh deal","","(Gap) / Surplus:")</f>
        <v>(Gap) / Surplus:</v>
      </c>
      <c r="G24" s="1947"/>
      <c r="H24" s="322">
        <f ca="1">IF(Setup!D6="Refinancing DOH deal","", D24-DevCosts!$D$133)</f>
        <v>100</v>
      </c>
      <c r="I24" s="323">
        <f ca="1">SUM(I3:I23)</f>
        <v>0</v>
      </c>
      <c r="J24" s="601" t="str">
        <f>IF(Setup!D6="refinancing DOH deal", OpProforma!F78,"")</f>
        <v/>
      </c>
      <c r="K24" s="323">
        <f>IF(K2="",0,SUM(K3:K22))</f>
        <v>0</v>
      </c>
      <c r="L24" s="325"/>
      <c r="M24" s="325"/>
      <c r="N24" s="325"/>
      <c r="O24" s="325"/>
      <c r="P24" s="325">
        <f ca="1">SUM(P3:P23)</f>
        <v>0</v>
      </c>
      <c r="Q24" s="325">
        <f>SUM(Q3:Q23)</f>
        <v>0</v>
      </c>
      <c r="R24" s="325"/>
      <c r="S24" s="325"/>
      <c r="T24" s="325"/>
      <c r="U24" s="32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325"/>
      <c r="BD24" s="325"/>
      <c r="BE24" s="325"/>
      <c r="BF24" s="325"/>
      <c r="BG24" s="325"/>
      <c r="BH24" s="325"/>
      <c r="BI24" s="325"/>
      <c r="BJ24" s="325"/>
      <c r="BK24" s="325"/>
      <c r="BL24" s="325"/>
      <c r="BM24" s="325"/>
      <c r="BN24" s="325"/>
      <c r="BO24" s="325"/>
      <c r="BP24" s="325"/>
      <c r="BQ24" s="325"/>
      <c r="BR24" s="325"/>
      <c r="BS24" s="325"/>
      <c r="BT24" s="325"/>
      <c r="BU24" s="325"/>
      <c r="BV24" s="325"/>
      <c r="BW24" s="325"/>
      <c r="BX24" s="325"/>
      <c r="BY24" s="325"/>
      <c r="BZ24" s="325"/>
      <c r="CA24" s="325"/>
      <c r="CB24" s="325"/>
      <c r="CC24" s="325"/>
    </row>
    <row r="25" spans="1:81">
      <c r="A25" s="1378"/>
      <c r="B25" s="1378"/>
      <c r="C25" s="1379"/>
      <c r="D25" s="1379"/>
      <c r="E25" s="1379"/>
      <c r="F25" s="1379"/>
      <c r="G25" s="1380"/>
      <c r="H25" s="1379"/>
      <c r="I25" s="1379"/>
      <c r="J25" s="1379"/>
      <c r="K25" s="1381"/>
      <c r="L25" s="1346"/>
      <c r="M25" s="1346"/>
      <c r="N25" s="1346"/>
      <c r="O25" s="1346"/>
      <c r="P25" s="1346"/>
      <c r="Q25" s="1346"/>
      <c r="R25" s="1346"/>
      <c r="S25" s="1346"/>
      <c r="T25" s="1346"/>
      <c r="U25" s="1346"/>
      <c r="V25" s="1346"/>
      <c r="W25" s="1346"/>
      <c r="X25" s="1346"/>
      <c r="Y25" s="1346"/>
      <c r="Z25" s="1346"/>
      <c r="AA25" s="1346"/>
      <c r="AB25" s="1346"/>
      <c r="AC25" s="1346"/>
      <c r="AD25" s="1346"/>
      <c r="AE25" s="1346"/>
      <c r="AF25" s="1346"/>
      <c r="AG25" s="1346"/>
      <c r="AH25" s="1346"/>
      <c r="AI25" s="1346"/>
      <c r="AJ25" s="1346"/>
      <c r="AK25" s="1346"/>
      <c r="AL25" s="1346"/>
      <c r="AM25" s="1346"/>
      <c r="AN25" s="1346"/>
      <c r="AO25" s="1346"/>
      <c r="AP25" s="1346"/>
      <c r="AQ25" s="1346"/>
      <c r="AR25" s="1346"/>
      <c r="AS25" s="1346"/>
      <c r="AT25" s="1346"/>
      <c r="AU25" s="1346"/>
      <c r="AV25" s="1346"/>
      <c r="AW25" s="1346"/>
      <c r="AX25" s="1346"/>
      <c r="AY25" s="1346"/>
      <c r="AZ25" s="1346"/>
      <c r="BA25" s="1346"/>
      <c r="BB25" s="1346"/>
      <c r="BC25" s="1346"/>
      <c r="BD25" s="1346"/>
      <c r="BE25" s="1346"/>
      <c r="BF25" s="1346"/>
      <c r="BG25" s="1346"/>
      <c r="BH25" s="1346"/>
      <c r="BI25" s="1346"/>
      <c r="BJ25" s="1346"/>
      <c r="BK25" s="1346"/>
      <c r="BL25" s="1346"/>
      <c r="BM25" s="1346"/>
      <c r="BN25" s="1346"/>
      <c r="BO25" s="1346"/>
      <c r="BP25" s="1346"/>
      <c r="BQ25" s="1346"/>
      <c r="BR25" s="1346"/>
      <c r="BS25" s="1346"/>
      <c r="BT25" s="1346"/>
      <c r="BU25" s="1346"/>
      <c r="BV25" s="1346"/>
      <c r="BW25" s="1346"/>
      <c r="BX25" s="1346"/>
      <c r="BY25" s="1346"/>
      <c r="BZ25" s="1346"/>
      <c r="CA25" s="1346"/>
      <c r="CB25" s="1346"/>
      <c r="CC25" s="1346"/>
    </row>
    <row r="26" spans="1:81" s="324" customFormat="1" hidden="1">
      <c r="A26" s="305" t="s">
        <v>622</v>
      </c>
      <c r="B26" s="306" t="s">
        <v>623</v>
      </c>
      <c r="C26" s="328" t="s">
        <v>277</v>
      </c>
      <c r="D26" s="329"/>
      <c r="E26" s="329"/>
      <c r="F26" s="329"/>
      <c r="G26" s="330"/>
      <c r="H26" s="329"/>
      <c r="I26" s="329"/>
      <c r="J26" s="329"/>
      <c r="K26" s="329"/>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c r="BZ26" s="325"/>
      <c r="CA26" s="325"/>
      <c r="CB26" s="325"/>
      <c r="CC26" s="325"/>
    </row>
    <row r="27" spans="1:81" hidden="1">
      <c r="A27" s="584">
        <f t="shared" ref="A27:B42" si="3">A3</f>
        <v>1</v>
      </c>
      <c r="B27" s="1082" t="str">
        <f t="shared" si="3"/>
        <v>Private Loan #1</v>
      </c>
      <c r="C27" s="1943"/>
      <c r="D27" s="1943"/>
      <c r="E27" s="1943"/>
      <c r="F27" s="1943"/>
      <c r="G27" s="1943"/>
      <c r="H27" s="1943"/>
      <c r="I27" s="1943"/>
      <c r="J27" s="1943"/>
      <c r="K27" s="1943"/>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1346"/>
      <c r="AV27" s="1346"/>
      <c r="AW27" s="1346"/>
      <c r="AX27" s="1346"/>
      <c r="AY27" s="1346"/>
      <c r="AZ27" s="1346"/>
      <c r="BA27" s="1346"/>
      <c r="BB27" s="1346"/>
      <c r="BC27" s="1346"/>
      <c r="BD27" s="1346"/>
      <c r="BE27" s="1346"/>
      <c r="BF27" s="1346"/>
      <c r="BG27" s="1346"/>
      <c r="BH27" s="1346"/>
      <c r="BI27" s="1346"/>
      <c r="BJ27" s="1346"/>
      <c r="BK27" s="1346"/>
      <c r="BL27" s="1346"/>
      <c r="BM27" s="1346"/>
      <c r="BN27" s="1346"/>
      <c r="BO27" s="1346"/>
      <c r="BP27" s="1346"/>
      <c r="BQ27" s="1346"/>
      <c r="BR27" s="1346"/>
      <c r="BS27" s="1346"/>
      <c r="BT27" s="1346"/>
      <c r="BU27" s="1346"/>
      <c r="BV27" s="1346"/>
      <c r="BW27" s="1346"/>
      <c r="BX27" s="1346"/>
      <c r="BY27" s="1346"/>
      <c r="BZ27" s="1346"/>
      <c r="CA27" s="1346"/>
      <c r="CB27" s="1346"/>
      <c r="CC27" s="1346"/>
    </row>
    <row r="28" spans="1:81" hidden="1">
      <c r="A28" s="584">
        <f t="shared" si="3"/>
        <v>2</v>
      </c>
      <c r="B28" s="1082" t="str">
        <f t="shared" si="3"/>
        <v>Private Loan #2</v>
      </c>
      <c r="C28" s="1943"/>
      <c r="D28" s="1943"/>
      <c r="E28" s="1943"/>
      <c r="F28" s="1943"/>
      <c r="G28" s="1943"/>
      <c r="H28" s="1943"/>
      <c r="I28" s="1943"/>
      <c r="J28" s="1943"/>
      <c r="K28" s="1943"/>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1346"/>
      <c r="AV28" s="1346"/>
      <c r="AW28" s="1346"/>
      <c r="AX28" s="1346"/>
      <c r="AY28" s="1346"/>
      <c r="AZ28" s="1346"/>
      <c r="BA28" s="1346"/>
      <c r="BB28" s="1346"/>
      <c r="BC28" s="1346"/>
      <c r="BD28" s="1346"/>
      <c r="BE28" s="1346"/>
      <c r="BF28" s="1346"/>
      <c r="BG28" s="1346"/>
      <c r="BH28" s="1346"/>
      <c r="BI28" s="1346"/>
      <c r="BJ28" s="1346"/>
      <c r="BK28" s="1346"/>
      <c r="BL28" s="1346"/>
      <c r="BM28" s="1346"/>
      <c r="BN28" s="1346"/>
      <c r="BO28" s="1346"/>
      <c r="BP28" s="1346"/>
      <c r="BQ28" s="1346"/>
      <c r="BR28" s="1346"/>
      <c r="BS28" s="1346"/>
      <c r="BT28" s="1346"/>
      <c r="BU28" s="1346"/>
      <c r="BV28" s="1346"/>
      <c r="BW28" s="1346"/>
      <c r="BX28" s="1346"/>
      <c r="BY28" s="1346"/>
      <c r="BZ28" s="1346"/>
      <c r="CA28" s="1346"/>
      <c r="CB28" s="1346"/>
      <c r="CC28" s="1346"/>
    </row>
    <row r="29" spans="1:81" hidden="1">
      <c r="A29" s="584">
        <f t="shared" si="3"/>
        <v>1</v>
      </c>
      <c r="B29" s="1082" t="str">
        <f t="shared" si="3"/>
        <v>Tax Exempt Bond #1</v>
      </c>
      <c r="C29" s="1943"/>
      <c r="D29" s="1943"/>
      <c r="E29" s="1943"/>
      <c r="F29" s="1943"/>
      <c r="G29" s="1943"/>
      <c r="H29" s="1943"/>
      <c r="I29" s="1943"/>
      <c r="J29" s="1943"/>
      <c r="K29" s="1943"/>
      <c r="L29" s="1346"/>
      <c r="M29" s="1346"/>
      <c r="N29" s="1346"/>
      <c r="O29" s="1346"/>
      <c r="P29" s="1346"/>
      <c r="Q29" s="1346"/>
      <c r="R29" s="1346"/>
      <c r="S29" s="1346"/>
      <c r="T29" s="1346"/>
      <c r="U29" s="1346"/>
      <c r="V29" s="1346"/>
      <c r="W29" s="1346"/>
      <c r="X29" s="1346"/>
      <c r="Y29" s="1346"/>
      <c r="Z29" s="1346"/>
      <c r="AA29" s="1346"/>
      <c r="AB29" s="1346"/>
      <c r="AC29" s="1346"/>
      <c r="AD29" s="1346"/>
      <c r="AE29" s="1346"/>
      <c r="AF29" s="1346"/>
      <c r="AG29" s="1346"/>
      <c r="AH29" s="1346"/>
      <c r="AI29" s="1346"/>
      <c r="AJ29" s="1346"/>
      <c r="AK29" s="1346"/>
      <c r="AL29" s="1346"/>
      <c r="AM29" s="1346"/>
      <c r="AN29" s="1346"/>
      <c r="AO29" s="1346"/>
      <c r="AP29" s="1346"/>
      <c r="AQ29" s="1346"/>
      <c r="AR29" s="1346"/>
      <c r="AS29" s="1346"/>
      <c r="AT29" s="1346"/>
      <c r="AU29" s="1346"/>
      <c r="AV29" s="1346"/>
      <c r="AW29" s="1346"/>
      <c r="AX29" s="1346"/>
      <c r="AY29" s="1346"/>
      <c r="AZ29" s="1346"/>
      <c r="BA29" s="1346"/>
      <c r="BB29" s="1346"/>
      <c r="BC29" s="1346"/>
      <c r="BD29" s="1346"/>
      <c r="BE29" s="1346"/>
      <c r="BF29" s="1346"/>
      <c r="BG29" s="1346"/>
      <c r="BH29" s="1346"/>
      <c r="BI29" s="1346"/>
      <c r="BJ29" s="1346"/>
      <c r="BK29" s="1346"/>
      <c r="BL29" s="1346"/>
      <c r="BM29" s="1346"/>
      <c r="BN29" s="1346"/>
      <c r="BO29" s="1346"/>
      <c r="BP29" s="1346"/>
      <c r="BQ29" s="1346"/>
      <c r="BR29" s="1346"/>
      <c r="BS29" s="1346"/>
      <c r="BT29" s="1346"/>
      <c r="BU29" s="1346"/>
      <c r="BV29" s="1346"/>
      <c r="BW29" s="1346"/>
      <c r="BX29" s="1346"/>
      <c r="BY29" s="1346"/>
      <c r="BZ29" s="1346"/>
      <c r="CA29" s="1346"/>
      <c r="CB29" s="1346"/>
      <c r="CC29" s="1346"/>
    </row>
    <row r="30" spans="1:81" hidden="1">
      <c r="A30" s="584">
        <f t="shared" si="3"/>
        <v>2</v>
      </c>
      <c r="B30" s="1082" t="str">
        <f t="shared" si="3"/>
        <v>Tax Exempt Bond #2</v>
      </c>
      <c r="C30" s="1943"/>
      <c r="D30" s="1943"/>
      <c r="E30" s="1943"/>
      <c r="F30" s="1943"/>
      <c r="G30" s="1943"/>
      <c r="H30" s="1943"/>
      <c r="I30" s="1943"/>
      <c r="J30" s="1943"/>
      <c r="K30" s="1943"/>
      <c r="L30" s="1346"/>
      <c r="M30" s="1346"/>
      <c r="N30" s="1346"/>
      <c r="O30" s="1346"/>
      <c r="P30" s="1346"/>
      <c r="Q30" s="1346"/>
      <c r="R30" s="1346"/>
      <c r="S30" s="1346"/>
      <c r="T30" s="1346"/>
      <c r="U30" s="1346"/>
      <c r="V30" s="1346"/>
      <c r="W30" s="1346"/>
      <c r="X30" s="1346"/>
      <c r="Y30" s="1346"/>
      <c r="Z30" s="1346"/>
      <c r="AA30" s="1346"/>
      <c r="AB30" s="1346"/>
      <c r="AC30" s="1346"/>
      <c r="AD30" s="1346"/>
      <c r="AE30" s="1346"/>
      <c r="AF30" s="1346"/>
      <c r="AG30" s="1346"/>
      <c r="AH30" s="1346"/>
      <c r="AI30" s="1346"/>
      <c r="AJ30" s="1346"/>
      <c r="AK30" s="1346"/>
      <c r="AL30" s="1346"/>
      <c r="AM30" s="1346"/>
      <c r="AN30" s="1346"/>
      <c r="AO30" s="1346"/>
      <c r="AP30" s="1346"/>
      <c r="AQ30" s="1346"/>
      <c r="AR30" s="1346"/>
      <c r="AS30" s="1346"/>
      <c r="AT30" s="1346"/>
      <c r="AU30" s="1346"/>
      <c r="AV30" s="1346"/>
      <c r="AW30" s="1346"/>
      <c r="AX30" s="1346"/>
      <c r="AY30" s="1346"/>
      <c r="AZ30" s="1346"/>
      <c r="BA30" s="1346"/>
      <c r="BB30" s="1346"/>
      <c r="BC30" s="1346"/>
      <c r="BD30" s="1346"/>
      <c r="BE30" s="1346"/>
      <c r="BF30" s="1346"/>
      <c r="BG30" s="1346"/>
      <c r="BH30" s="1346"/>
      <c r="BI30" s="1346"/>
      <c r="BJ30" s="1346"/>
      <c r="BK30" s="1346"/>
      <c r="BL30" s="1346"/>
      <c r="BM30" s="1346"/>
      <c r="BN30" s="1346"/>
      <c r="BO30" s="1346"/>
      <c r="BP30" s="1346"/>
      <c r="BQ30" s="1346"/>
      <c r="BR30" s="1346"/>
      <c r="BS30" s="1346"/>
      <c r="BT30" s="1346"/>
      <c r="BU30" s="1346"/>
      <c r="BV30" s="1346"/>
      <c r="BW30" s="1346"/>
      <c r="BX30" s="1346"/>
      <c r="BY30" s="1346"/>
      <c r="BZ30" s="1346"/>
      <c r="CA30" s="1346"/>
      <c r="CB30" s="1346"/>
      <c r="CC30" s="1346"/>
    </row>
    <row r="31" spans="1:81" hidden="1">
      <c r="A31" s="584">
        <f t="shared" si="3"/>
        <v>3</v>
      </c>
      <c r="B31" s="1082" t="str">
        <f t="shared" si="3"/>
        <v>Tax Exempt Bond #3</v>
      </c>
      <c r="C31" s="1943"/>
      <c r="D31" s="1943"/>
      <c r="E31" s="1943"/>
      <c r="F31" s="1943"/>
      <c r="G31" s="1943"/>
      <c r="H31" s="1943"/>
      <c r="I31" s="1943"/>
      <c r="J31" s="1943"/>
      <c r="K31" s="1943"/>
      <c r="L31" s="1346"/>
      <c r="M31" s="1346"/>
      <c r="N31" s="1346"/>
      <c r="O31" s="1346"/>
      <c r="P31" s="1346"/>
      <c r="Q31" s="1346"/>
      <c r="R31" s="1346"/>
      <c r="S31" s="1346"/>
      <c r="T31" s="1346"/>
      <c r="U31" s="1346"/>
      <c r="V31" s="1346"/>
      <c r="W31" s="1346"/>
      <c r="X31" s="1346"/>
      <c r="Y31" s="1346"/>
      <c r="Z31" s="1346"/>
      <c r="AA31" s="1346"/>
      <c r="AB31" s="1346"/>
      <c r="AC31" s="1346"/>
      <c r="AD31" s="1346"/>
      <c r="AE31" s="1346"/>
      <c r="AF31" s="1346"/>
      <c r="AG31" s="1346"/>
      <c r="AH31" s="1346"/>
      <c r="AI31" s="1346"/>
      <c r="AJ31" s="1346"/>
      <c r="AK31" s="1346"/>
      <c r="AL31" s="1346"/>
      <c r="AM31" s="1346"/>
      <c r="AN31" s="1346"/>
      <c r="AO31" s="1346"/>
      <c r="AP31" s="1346"/>
      <c r="AQ31" s="1346"/>
      <c r="AR31" s="1346"/>
      <c r="AS31" s="1346"/>
      <c r="AT31" s="1346"/>
      <c r="AU31" s="1346"/>
      <c r="AV31" s="1346"/>
      <c r="AW31" s="1346"/>
      <c r="AX31" s="1346"/>
      <c r="AY31" s="1346"/>
      <c r="AZ31" s="1346"/>
      <c r="BA31" s="1346"/>
      <c r="BB31" s="1346"/>
      <c r="BC31" s="1346"/>
      <c r="BD31" s="1346"/>
      <c r="BE31" s="1346"/>
      <c r="BF31" s="1346"/>
      <c r="BG31" s="1346"/>
      <c r="BH31" s="1346"/>
      <c r="BI31" s="1346"/>
      <c r="BJ31" s="1346"/>
      <c r="BK31" s="1346"/>
      <c r="BL31" s="1346"/>
      <c r="BM31" s="1346"/>
      <c r="BN31" s="1346"/>
      <c r="BO31" s="1346"/>
      <c r="BP31" s="1346"/>
      <c r="BQ31" s="1346"/>
      <c r="BR31" s="1346"/>
      <c r="BS31" s="1346"/>
      <c r="BT31" s="1346"/>
      <c r="BU31" s="1346"/>
      <c r="BV31" s="1346"/>
      <c r="BW31" s="1346"/>
      <c r="BX31" s="1346"/>
      <c r="BY31" s="1346"/>
      <c r="BZ31" s="1346"/>
      <c r="CA31" s="1346"/>
      <c r="CB31" s="1346"/>
      <c r="CC31" s="1346"/>
    </row>
    <row r="32" spans="1:81" hidden="1">
      <c r="A32" s="584">
        <f t="shared" si="3"/>
        <v>2</v>
      </c>
      <c r="B32" s="1082" t="str">
        <f t="shared" si="3"/>
        <v>Equity Bridge Loan</v>
      </c>
      <c r="C32" s="1943"/>
      <c r="D32" s="1943"/>
      <c r="E32" s="1943"/>
      <c r="F32" s="1943"/>
      <c r="G32" s="1943"/>
      <c r="H32" s="1943"/>
      <c r="I32" s="1943"/>
      <c r="J32" s="1943"/>
      <c r="K32" s="1943"/>
      <c r="L32" s="1346"/>
      <c r="M32" s="1346"/>
      <c r="N32" s="1346"/>
      <c r="O32" s="1346"/>
      <c r="P32" s="1346"/>
      <c r="Q32" s="1346"/>
      <c r="R32" s="1346"/>
      <c r="S32" s="1346"/>
      <c r="T32" s="1346"/>
      <c r="U32" s="1346"/>
      <c r="V32" s="1346"/>
      <c r="W32" s="1346"/>
      <c r="X32" s="1346"/>
      <c r="Y32" s="1346"/>
      <c r="Z32" s="1346"/>
      <c r="AA32" s="1346"/>
      <c r="AB32" s="1346"/>
      <c r="AC32" s="1346"/>
      <c r="AD32" s="1346"/>
      <c r="AE32" s="1346"/>
      <c r="AF32" s="1346"/>
      <c r="AG32" s="1346"/>
      <c r="AH32" s="1346"/>
      <c r="AI32" s="1346"/>
      <c r="AJ32" s="1346"/>
      <c r="AK32" s="1346"/>
      <c r="AL32" s="1346"/>
      <c r="AM32" s="1346"/>
      <c r="AN32" s="1346"/>
      <c r="AO32" s="1346"/>
      <c r="AP32" s="1346"/>
      <c r="AQ32" s="1346"/>
      <c r="AR32" s="1346"/>
      <c r="AS32" s="1346"/>
      <c r="AT32" s="1346"/>
      <c r="AU32" s="1346"/>
      <c r="AV32" s="1346"/>
      <c r="AW32" s="1346"/>
      <c r="AX32" s="1346"/>
      <c r="AY32" s="1346"/>
      <c r="AZ32" s="1346"/>
      <c r="BA32" s="1346"/>
      <c r="BB32" s="1346"/>
      <c r="BC32" s="1346"/>
      <c r="BD32" s="1346"/>
      <c r="BE32" s="1346"/>
      <c r="BF32" s="1346"/>
      <c r="BG32" s="1346"/>
      <c r="BH32" s="1346"/>
      <c r="BI32" s="1346"/>
      <c r="BJ32" s="1346"/>
      <c r="BK32" s="1346"/>
      <c r="BL32" s="1346"/>
      <c r="BM32" s="1346"/>
      <c r="BN32" s="1346"/>
      <c r="BO32" s="1346"/>
      <c r="BP32" s="1346"/>
      <c r="BQ32" s="1346"/>
      <c r="BR32" s="1346"/>
      <c r="BS32" s="1346"/>
      <c r="BT32" s="1346"/>
      <c r="BU32" s="1346"/>
      <c r="BV32" s="1346"/>
      <c r="BW32" s="1346"/>
      <c r="BX32" s="1346"/>
      <c r="BY32" s="1346"/>
      <c r="BZ32" s="1346"/>
      <c r="CA32" s="1346"/>
      <c r="CB32" s="1346"/>
      <c r="CC32" s="1346"/>
    </row>
    <row r="33" spans="1:11" hidden="1">
      <c r="A33" s="584">
        <f t="shared" si="3"/>
        <v>3</v>
      </c>
      <c r="B33" s="1082" t="str">
        <f t="shared" si="3"/>
        <v>CDBG</v>
      </c>
      <c r="C33" s="1943"/>
      <c r="D33" s="1943"/>
      <c r="E33" s="1943"/>
      <c r="F33" s="1943"/>
      <c r="G33" s="1943"/>
      <c r="H33" s="1943"/>
      <c r="I33" s="1943"/>
      <c r="J33" s="1943"/>
      <c r="K33" s="1943"/>
    </row>
    <row r="34" spans="1:11" hidden="1">
      <c r="A34" s="584">
        <f t="shared" si="3"/>
        <v>3</v>
      </c>
      <c r="B34" s="1082" t="str">
        <f t="shared" si="3"/>
        <v>HOME</v>
      </c>
      <c r="C34" s="1943"/>
      <c r="D34" s="1943"/>
      <c r="E34" s="1943"/>
      <c r="F34" s="1943"/>
      <c r="G34" s="1943"/>
      <c r="H34" s="1943"/>
      <c r="I34" s="1943"/>
      <c r="J34" s="1943"/>
      <c r="K34" s="1943"/>
    </row>
    <row r="35" spans="1:11" hidden="1">
      <c r="A35" s="584">
        <f t="shared" si="3"/>
        <v>4</v>
      </c>
      <c r="B35" s="1082" t="str">
        <f t="shared" si="3"/>
        <v>MAUI</v>
      </c>
      <c r="C35" s="1943"/>
      <c r="D35" s="1943"/>
      <c r="E35" s="1943"/>
      <c r="F35" s="1943"/>
      <c r="G35" s="1943"/>
      <c r="H35" s="1943"/>
      <c r="I35" s="1943"/>
      <c r="J35" s="1943"/>
      <c r="K35" s="1943"/>
    </row>
    <row r="36" spans="1:11" hidden="1">
      <c r="A36" s="584">
        <f t="shared" si="3"/>
        <v>5</v>
      </c>
      <c r="B36" s="1082" t="str">
        <f t="shared" si="3"/>
        <v>CHA Loan</v>
      </c>
      <c r="C36" s="1943"/>
      <c r="D36" s="1943"/>
      <c r="E36" s="1943"/>
      <c r="F36" s="1943"/>
      <c r="G36" s="1943"/>
      <c r="H36" s="1943"/>
      <c r="I36" s="1943"/>
      <c r="J36" s="1943"/>
      <c r="K36" s="1943"/>
    </row>
    <row r="37" spans="1:11" hidden="1">
      <c r="A37" s="584">
        <f t="shared" si="3"/>
        <v>5</v>
      </c>
      <c r="B37" s="1082" t="str">
        <f t="shared" si="3"/>
        <v>IHDA Loan</v>
      </c>
      <c r="C37" s="1943"/>
      <c r="D37" s="1943"/>
      <c r="E37" s="1943"/>
      <c r="F37" s="1943"/>
      <c r="G37" s="1943"/>
      <c r="H37" s="1943"/>
      <c r="I37" s="1943"/>
      <c r="J37" s="1943"/>
      <c r="K37" s="1943"/>
    </row>
    <row r="38" spans="1:11" hidden="1">
      <c r="A38" s="584">
        <f t="shared" si="3"/>
        <v>5</v>
      </c>
      <c r="B38" s="1082" t="str">
        <f t="shared" si="3"/>
        <v>Illinois Donations</v>
      </c>
      <c r="C38" s="1943"/>
      <c r="D38" s="1943"/>
      <c r="E38" s="1943"/>
      <c r="F38" s="1943"/>
      <c r="G38" s="1943"/>
      <c r="H38" s="1943"/>
      <c r="I38" s="1943"/>
      <c r="J38" s="1943"/>
      <c r="K38" s="1943"/>
    </row>
    <row r="39" spans="1:11" hidden="1">
      <c r="A39" s="584">
        <f t="shared" si="3"/>
        <v>5</v>
      </c>
      <c r="B39" s="1082" t="str">
        <f t="shared" si="3"/>
        <v>TIF Loan/ Grant</v>
      </c>
      <c r="C39" s="1943"/>
      <c r="D39" s="1943"/>
      <c r="E39" s="1943"/>
      <c r="F39" s="1943"/>
      <c r="G39" s="1943"/>
      <c r="H39" s="1943"/>
      <c r="I39" s="1943"/>
      <c r="J39" s="1943"/>
      <c r="K39" s="1943"/>
    </row>
    <row r="40" spans="1:11" hidden="1">
      <c r="A40" s="584">
        <f t="shared" si="3"/>
        <v>5</v>
      </c>
      <c r="B40" s="1082" t="str">
        <f t="shared" si="3"/>
        <v>FHLB AHP</v>
      </c>
      <c r="C40" s="1943"/>
      <c r="D40" s="1943"/>
      <c r="E40" s="1943"/>
      <c r="F40" s="1943"/>
      <c r="G40" s="1943"/>
      <c r="H40" s="1943"/>
      <c r="I40" s="1943"/>
      <c r="J40" s="1943"/>
      <c r="K40" s="1943"/>
    </row>
    <row r="41" spans="1:11" hidden="1">
      <c r="A41" s="584">
        <f t="shared" si="3"/>
        <v>6</v>
      </c>
      <c r="B41" s="1082" t="str">
        <f t="shared" si="3"/>
        <v>Grant #1</v>
      </c>
      <c r="C41" s="1943"/>
      <c r="D41" s="1943"/>
      <c r="E41" s="1943"/>
      <c r="F41" s="1943"/>
      <c r="G41" s="1943"/>
      <c r="H41" s="1943"/>
      <c r="I41" s="1943"/>
      <c r="J41" s="1943"/>
      <c r="K41" s="1943"/>
    </row>
    <row r="42" spans="1:11" hidden="1">
      <c r="A42" s="584">
        <f t="shared" si="3"/>
        <v>6</v>
      </c>
      <c r="B42" s="1082" t="str">
        <f t="shared" si="3"/>
        <v>Grant #2</v>
      </c>
      <c r="C42" s="1943"/>
      <c r="D42" s="1943"/>
      <c r="E42" s="1943"/>
      <c r="F42" s="1943"/>
      <c r="G42" s="1943"/>
      <c r="H42" s="1943"/>
      <c r="I42" s="1943"/>
      <c r="J42" s="1943"/>
      <c r="K42" s="1943"/>
    </row>
    <row r="43" spans="1:11" hidden="1">
      <c r="A43" s="584">
        <f t="shared" ref="A43:B47" si="4">A19</f>
        <v>6</v>
      </c>
      <c r="B43" s="1082" t="str">
        <f t="shared" si="4"/>
        <v>Grant #3</v>
      </c>
      <c r="C43" s="1943"/>
      <c r="D43" s="1943"/>
      <c r="E43" s="1943"/>
      <c r="F43" s="1943"/>
      <c r="G43" s="1943"/>
      <c r="H43" s="1943"/>
      <c r="I43" s="1943"/>
      <c r="J43" s="1943"/>
      <c r="K43" s="1943"/>
    </row>
    <row r="44" spans="1:11" hidden="1">
      <c r="A44" s="584">
        <f t="shared" si="4"/>
        <v>6</v>
      </c>
      <c r="B44" s="1082" t="str">
        <f t="shared" si="4"/>
        <v>Grant #4</v>
      </c>
      <c r="C44" s="1943"/>
      <c r="D44" s="1943"/>
      <c r="E44" s="1943"/>
      <c r="F44" s="1943"/>
      <c r="G44" s="1943"/>
      <c r="H44" s="1943"/>
      <c r="I44" s="1943"/>
      <c r="J44" s="1943"/>
      <c r="K44" s="1943"/>
    </row>
    <row r="45" spans="1:11" hidden="1">
      <c r="A45" s="584">
        <f t="shared" si="4"/>
        <v>6</v>
      </c>
      <c r="B45" s="1082" t="str">
        <f t="shared" si="4"/>
        <v>Deferred Developer Fee</v>
      </c>
      <c r="C45" s="1943"/>
      <c r="D45" s="1943"/>
      <c r="E45" s="1943"/>
      <c r="F45" s="1943"/>
      <c r="G45" s="1943"/>
      <c r="H45" s="1943"/>
      <c r="I45" s="1943"/>
      <c r="J45" s="1943"/>
      <c r="K45" s="1943"/>
    </row>
    <row r="46" spans="1:11" hidden="1">
      <c r="A46" s="584">
        <f t="shared" si="4"/>
        <v>6</v>
      </c>
      <c r="B46" s="1082" t="str">
        <f t="shared" si="4"/>
        <v>General Partner Equity</v>
      </c>
      <c r="C46" s="1943"/>
      <c r="D46" s="1943"/>
      <c r="E46" s="1943"/>
      <c r="F46" s="1943"/>
      <c r="G46" s="1943"/>
      <c r="H46" s="1943"/>
      <c r="I46" s="1943"/>
      <c r="J46" s="1943"/>
      <c r="K46" s="1943"/>
    </row>
    <row r="47" spans="1:11" hidden="1">
      <c r="A47" s="584">
        <f t="shared" si="4"/>
        <v>7</v>
      </c>
      <c r="B47" s="1082" t="str">
        <f>B23</f>
        <v>Tax Credit Equity</v>
      </c>
      <c r="C47" s="1943"/>
      <c r="D47" s="1943"/>
      <c r="E47" s="1943"/>
      <c r="F47" s="1943"/>
      <c r="G47" s="1943"/>
      <c r="H47" s="1943"/>
      <c r="I47" s="1943"/>
      <c r="J47" s="1943"/>
      <c r="K47" s="1943"/>
    </row>
    <row r="48" spans="1:11" ht="22.7" customHeight="1" thickBot="1">
      <c r="A48" s="1946" t="str">
        <f>IF(Setup!D6="refinancing doh deal", "Proposed Sources of Funds", "Permanent Sources of Funds")</f>
        <v>Permanent Sources of Funds</v>
      </c>
      <c r="B48" s="1946"/>
      <c r="C48" s="1946"/>
      <c r="D48" s="1946"/>
      <c r="E48" s="1946"/>
      <c r="F48" s="1946"/>
      <c r="G48" s="1946"/>
      <c r="H48" s="1946"/>
      <c r="I48" s="1946"/>
      <c r="J48" s="1946"/>
      <c r="K48" s="1946"/>
    </row>
    <row r="49" spans="1:81" s="310" customFormat="1" ht="26.45" customHeight="1">
      <c r="A49" s="305" t="s">
        <v>622</v>
      </c>
      <c r="B49" s="306" t="s">
        <v>623</v>
      </c>
      <c r="C49" s="332" t="s">
        <v>624</v>
      </c>
      <c r="D49" s="307" t="s">
        <v>273</v>
      </c>
      <c r="E49" s="307" t="s">
        <v>625</v>
      </c>
      <c r="F49" s="307" t="str">
        <f ca="1">IF(F50="","","Loan Start Date")</f>
        <v>Loan Start Date</v>
      </c>
      <c r="G49" s="307" t="s">
        <v>659</v>
      </c>
      <c r="H49" s="308" t="s">
        <v>660</v>
      </c>
      <c r="I49" s="307" t="s">
        <v>661</v>
      </c>
      <c r="J49" s="307" t="s">
        <v>662</v>
      </c>
      <c r="K49" s="307" t="s">
        <v>663</v>
      </c>
      <c r="L49" s="311"/>
      <c r="M49" s="311"/>
      <c r="N49" s="311"/>
      <c r="O49" s="311"/>
      <c r="P49" s="311" t="s">
        <v>626</v>
      </c>
      <c r="Q49" s="311" t="s">
        <v>627</v>
      </c>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1"/>
      <c r="BR49" s="311"/>
      <c r="BS49" s="311"/>
      <c r="BT49" s="311"/>
      <c r="BU49" s="311"/>
      <c r="BV49" s="311"/>
      <c r="BW49" s="311"/>
      <c r="BX49" s="311"/>
      <c r="BY49" s="311"/>
      <c r="BZ49" s="311"/>
      <c r="CA49" s="311"/>
      <c r="CB49" s="311"/>
      <c r="CC49" s="311"/>
    </row>
    <row r="50" spans="1:81">
      <c r="A50" s="1382">
        <f>A3</f>
        <v>1</v>
      </c>
      <c r="B50" s="1383" t="str">
        <f t="shared" ref="B50:C54" si="5">B3</f>
        <v>Private Loan #1</v>
      </c>
      <c r="C50" s="1085">
        <f t="shared" si="5"/>
        <v>0</v>
      </c>
      <c r="D50" s="1350">
        <f>D3</f>
        <v>0</v>
      </c>
      <c r="E50" s="1351" t="e">
        <f ca="1">D50/DevCosts!$D$133</f>
        <v>#DIV/0!</v>
      </c>
      <c r="F50" s="1384">
        <f ca="1">G3</f>
        <v>45481.090563425925</v>
      </c>
      <c r="G50" s="1349">
        <v>20</v>
      </c>
      <c r="H50" s="1349">
        <v>30</v>
      </c>
      <c r="I50" s="1385">
        <v>0.08</v>
      </c>
      <c r="J50" s="1350">
        <f>PMT(I50/12,H50*12,D50)*-12</f>
        <v>0</v>
      </c>
      <c r="K50" s="1386" t="str">
        <f>IF(J50&gt;0,Deal_Overview!$U$38/Sources!J50,"")</f>
        <v/>
      </c>
      <c r="L50" s="1346"/>
      <c r="M50" s="1346"/>
      <c r="N50" s="1346"/>
      <c r="O50" s="1346"/>
      <c r="P50" s="1346">
        <f>IF(C50="Chicago DOH",J50,0)</f>
        <v>0</v>
      </c>
      <c r="Q50" s="1346">
        <f>IF(C50="Chicago DOH",D50,0)</f>
        <v>0</v>
      </c>
      <c r="R50" s="1346"/>
      <c r="S50" s="1346"/>
      <c r="T50" s="1346"/>
      <c r="U50" s="1346"/>
      <c r="V50" s="1346"/>
      <c r="W50" s="1346"/>
      <c r="X50" s="1346"/>
      <c r="Y50" s="1346"/>
      <c r="Z50" s="1346"/>
      <c r="AA50" s="1346"/>
      <c r="AB50" s="1346"/>
      <c r="AC50" s="1346"/>
      <c r="AD50" s="1346"/>
      <c r="AE50" s="1346"/>
      <c r="AF50" s="1346"/>
      <c r="AG50" s="1346"/>
      <c r="AH50" s="1346"/>
      <c r="AI50" s="1346"/>
      <c r="AJ50" s="1346"/>
      <c r="AK50" s="1346"/>
      <c r="AL50" s="1346"/>
      <c r="AM50" s="1346"/>
      <c r="AN50" s="1346"/>
      <c r="AO50" s="1346"/>
      <c r="AP50" s="1346"/>
      <c r="AQ50" s="1346"/>
      <c r="AR50" s="1346"/>
      <c r="AS50" s="1346"/>
      <c r="AT50" s="1346"/>
      <c r="AU50" s="1346"/>
      <c r="AV50" s="1346"/>
      <c r="AW50" s="1346"/>
      <c r="AX50" s="1346"/>
      <c r="AY50" s="1346"/>
      <c r="AZ50" s="1346"/>
      <c r="BA50" s="1346"/>
      <c r="BB50" s="1346"/>
      <c r="BC50" s="1346"/>
      <c r="BD50" s="1346"/>
      <c r="BE50" s="1346"/>
      <c r="BF50" s="1346"/>
      <c r="BG50" s="1346"/>
      <c r="BH50" s="1346"/>
      <c r="BI50" s="1346"/>
      <c r="BJ50" s="1346"/>
      <c r="BK50" s="1346"/>
      <c r="BL50" s="1346"/>
      <c r="BM50" s="1346"/>
      <c r="BN50" s="1346"/>
      <c r="BO50" s="1346"/>
      <c r="BP50" s="1346"/>
      <c r="BQ50" s="1346"/>
      <c r="BR50" s="1346"/>
      <c r="BS50" s="1346"/>
      <c r="BT50" s="1346"/>
      <c r="BU50" s="1346"/>
      <c r="BV50" s="1346"/>
      <c r="BW50" s="1346"/>
      <c r="BX50" s="1346"/>
      <c r="BY50" s="1346"/>
      <c r="BZ50" s="1346"/>
      <c r="CA50" s="1346"/>
      <c r="CB50" s="1346"/>
      <c r="CC50" s="1346"/>
    </row>
    <row r="51" spans="1:81">
      <c r="A51" s="1382">
        <f>A4</f>
        <v>2</v>
      </c>
      <c r="B51" s="1383" t="str">
        <f t="shared" si="5"/>
        <v>Private Loan #2</v>
      </c>
      <c r="C51" s="1085">
        <f t="shared" si="5"/>
        <v>0</v>
      </c>
      <c r="D51" s="1350">
        <f>D4</f>
        <v>0</v>
      </c>
      <c r="E51" s="1351" t="e">
        <f ca="1">D51/DevCosts!$D$133</f>
        <v>#DIV/0!</v>
      </c>
      <c r="F51" s="1384">
        <f ca="1">G4</f>
        <v>45481.090563425925</v>
      </c>
      <c r="G51" s="1349">
        <f t="shared" ref="G51:G66" si="6">G50</f>
        <v>20</v>
      </c>
      <c r="H51" s="1349">
        <v>25</v>
      </c>
      <c r="I51" s="1385">
        <f>H4</f>
        <v>0.08</v>
      </c>
      <c r="J51" s="1350">
        <f>PMT(I51/12,H51*12,D51)*-12</f>
        <v>0</v>
      </c>
      <c r="K51" s="1386" t="str">
        <f>IF(J51&gt;0,Deal_Overview!$U$38/SUM(J50:J51),"")</f>
        <v/>
      </c>
      <c r="L51" s="1346"/>
      <c r="M51" s="1346"/>
      <c r="N51" s="1346"/>
      <c r="O51" s="1346"/>
      <c r="P51" s="1346">
        <f t="shared" ref="P51:P69" si="7">IF(C51="Chicago DOH",J51,0)</f>
        <v>0</v>
      </c>
      <c r="Q51" s="1346">
        <f t="shared" ref="Q51:Q69" si="8">IF(C51="Chicago DOH",D51,0)</f>
        <v>0</v>
      </c>
      <c r="R51" s="1346"/>
      <c r="S51" s="1346"/>
      <c r="T51" s="1346"/>
      <c r="U51" s="1346"/>
      <c r="V51" s="1346"/>
      <c r="W51" s="1346"/>
      <c r="X51" s="1346"/>
      <c r="Y51" s="1346"/>
      <c r="Z51" s="1346"/>
      <c r="AA51" s="1346"/>
      <c r="AB51" s="1346"/>
      <c r="AC51" s="1346"/>
      <c r="AD51" s="1346"/>
      <c r="AE51" s="1346"/>
      <c r="AF51" s="1346"/>
      <c r="AG51" s="1346"/>
      <c r="AH51" s="1346"/>
      <c r="AI51" s="1346"/>
      <c r="AJ51" s="1346"/>
      <c r="AK51" s="1346"/>
      <c r="AL51" s="1346"/>
      <c r="AM51" s="1346"/>
      <c r="AN51" s="1346"/>
      <c r="AO51" s="1346"/>
      <c r="AP51" s="1346"/>
      <c r="AQ51" s="1346"/>
      <c r="AR51" s="1346"/>
      <c r="AS51" s="1346"/>
      <c r="AT51" s="1346"/>
      <c r="AU51" s="1346"/>
      <c r="AV51" s="1346"/>
      <c r="AW51" s="1346"/>
      <c r="AX51" s="1346"/>
      <c r="AY51" s="1346"/>
      <c r="AZ51" s="1346"/>
      <c r="BA51" s="1346"/>
      <c r="BB51" s="1346"/>
      <c r="BC51" s="1346"/>
      <c r="BD51" s="1346"/>
      <c r="BE51" s="1346"/>
      <c r="BF51" s="1346"/>
      <c r="BG51" s="1346"/>
      <c r="BH51" s="1346"/>
      <c r="BI51" s="1346"/>
      <c r="BJ51" s="1346"/>
      <c r="BK51" s="1346"/>
      <c r="BL51" s="1346"/>
      <c r="BM51" s="1346"/>
      <c r="BN51" s="1346"/>
      <c r="BO51" s="1346"/>
      <c r="BP51" s="1346"/>
      <c r="BQ51" s="1346"/>
      <c r="BR51" s="1346"/>
      <c r="BS51" s="1346"/>
      <c r="BT51" s="1346"/>
      <c r="BU51" s="1346"/>
      <c r="BV51" s="1346"/>
      <c r="BW51" s="1346"/>
      <c r="BX51" s="1346"/>
      <c r="BY51" s="1346"/>
      <c r="BZ51" s="1346"/>
      <c r="CA51" s="1346"/>
      <c r="CB51" s="1346"/>
      <c r="CC51" s="1346"/>
    </row>
    <row r="52" spans="1:81">
      <c r="A52" s="1382">
        <f>A5</f>
        <v>1</v>
      </c>
      <c r="B52" s="1383" t="str">
        <f t="shared" si="5"/>
        <v>Tax Exempt Bond #1</v>
      </c>
      <c r="C52" s="1085">
        <f t="shared" si="5"/>
        <v>0</v>
      </c>
      <c r="D52" s="1350">
        <f>D5</f>
        <v>0</v>
      </c>
      <c r="E52" s="1351" t="e">
        <f ca="1">D52/DevCosts!$D$133</f>
        <v>#DIV/0!</v>
      </c>
      <c r="F52" s="1384">
        <f ca="1">G5</f>
        <v>45481.090563425925</v>
      </c>
      <c r="G52" s="1349">
        <f t="shared" si="6"/>
        <v>20</v>
      </c>
      <c r="H52" s="1349">
        <v>30</v>
      </c>
      <c r="I52" s="1385">
        <f>H5</f>
        <v>6.5000000000000002E-2</v>
      </c>
      <c r="J52" s="1350">
        <f>PMT(I52/12,H52*12,D52)*-12</f>
        <v>0</v>
      </c>
      <c r="K52" s="1386" t="str">
        <f>IF(J52&gt;0,Deal_Overview!$U$38/SUM($J$50:J52),"")</f>
        <v/>
      </c>
      <c r="L52" s="1346"/>
      <c r="M52" s="1346"/>
      <c r="N52" s="1346"/>
      <c r="O52" s="1346"/>
      <c r="P52" s="1346">
        <f t="shared" si="7"/>
        <v>0</v>
      </c>
      <c r="Q52" s="1346">
        <f t="shared" si="8"/>
        <v>0</v>
      </c>
      <c r="R52" s="1346"/>
      <c r="S52" s="1346"/>
      <c r="T52" s="1346"/>
      <c r="U52" s="1346"/>
      <c r="V52" s="1346"/>
      <c r="W52" s="1346"/>
      <c r="X52" s="1346"/>
      <c r="Y52" s="1346"/>
      <c r="Z52" s="1346"/>
      <c r="AA52" s="1346"/>
      <c r="AB52" s="1346"/>
      <c r="AC52" s="1346"/>
      <c r="AD52" s="1346"/>
      <c r="AE52" s="1346"/>
      <c r="AF52" s="1346"/>
      <c r="AG52" s="1346"/>
      <c r="AH52" s="1346"/>
      <c r="AI52" s="1346"/>
      <c r="AJ52" s="1346"/>
      <c r="AK52" s="1346"/>
      <c r="AL52" s="1346"/>
      <c r="AM52" s="1346"/>
      <c r="AN52" s="1346"/>
      <c r="AO52" s="1346"/>
      <c r="AP52" s="1346"/>
      <c r="AQ52" s="1346"/>
      <c r="AR52" s="1346"/>
      <c r="AS52" s="1346"/>
      <c r="AT52" s="1346"/>
      <c r="AU52" s="1346"/>
      <c r="AV52" s="1346"/>
      <c r="AW52" s="1346"/>
      <c r="AX52" s="1346"/>
      <c r="AY52" s="1346"/>
      <c r="AZ52" s="1346"/>
      <c r="BA52" s="1346"/>
      <c r="BB52" s="1346"/>
      <c r="BC52" s="1346"/>
      <c r="BD52" s="1346"/>
      <c r="BE52" s="1346"/>
      <c r="BF52" s="1346"/>
      <c r="BG52" s="1346"/>
      <c r="BH52" s="1346"/>
      <c r="BI52" s="1346"/>
      <c r="BJ52" s="1346"/>
      <c r="BK52" s="1346"/>
      <c r="BL52" s="1346"/>
      <c r="BM52" s="1346"/>
      <c r="BN52" s="1346"/>
      <c r="BO52" s="1346"/>
      <c r="BP52" s="1346"/>
      <c r="BQ52" s="1346"/>
      <c r="BR52" s="1346"/>
      <c r="BS52" s="1346"/>
      <c r="BT52" s="1346"/>
      <c r="BU52" s="1346"/>
      <c r="BV52" s="1346"/>
      <c r="BW52" s="1346"/>
      <c r="BX52" s="1346"/>
      <c r="BY52" s="1346"/>
      <c r="BZ52" s="1346"/>
      <c r="CA52" s="1346"/>
      <c r="CB52" s="1346"/>
      <c r="CC52" s="1346"/>
    </row>
    <row r="53" spans="1:81">
      <c r="A53" s="1382">
        <f>A6</f>
        <v>2</v>
      </c>
      <c r="B53" s="1383" t="str">
        <f t="shared" si="5"/>
        <v>Tax Exempt Bond #2</v>
      </c>
      <c r="C53" s="1085">
        <f t="shared" si="5"/>
        <v>0</v>
      </c>
      <c r="D53" s="1350">
        <f>D6</f>
        <v>0</v>
      </c>
      <c r="E53" s="1351" t="e">
        <f ca="1">D53/DevCosts!$D$133</f>
        <v>#DIV/0!</v>
      </c>
      <c r="F53" s="1384">
        <f ca="1">G6</f>
        <v>45481.090563425925</v>
      </c>
      <c r="G53" s="1349">
        <f t="shared" si="6"/>
        <v>20</v>
      </c>
      <c r="H53" s="1349">
        <v>35</v>
      </c>
      <c r="I53" s="1385">
        <f>H6</f>
        <v>6.5000000000000002E-2</v>
      </c>
      <c r="J53" s="1350">
        <f>PMT(I53/12,H53*12,D53)*-12</f>
        <v>0</v>
      </c>
      <c r="K53" s="1386" t="str">
        <f>IF(J53&gt;0,Deal_Overview!$U$38/SUM($J$50:J53),"")</f>
        <v/>
      </c>
      <c r="L53" s="1346"/>
      <c r="M53" s="1346"/>
      <c r="N53" s="1346"/>
      <c r="O53" s="1346"/>
      <c r="P53" s="1346">
        <f t="shared" si="7"/>
        <v>0</v>
      </c>
      <c r="Q53" s="1346">
        <f t="shared" si="8"/>
        <v>0</v>
      </c>
      <c r="R53" s="1346"/>
      <c r="S53" s="1346"/>
      <c r="T53" s="1346"/>
      <c r="U53" s="1346"/>
      <c r="V53" s="1346"/>
      <c r="W53" s="1346"/>
      <c r="X53" s="1346"/>
      <c r="Y53" s="1346"/>
      <c r="Z53" s="1346"/>
      <c r="AA53" s="1346"/>
      <c r="AB53" s="1346"/>
      <c r="AC53" s="1346"/>
      <c r="AD53" s="1346"/>
      <c r="AE53" s="1346"/>
      <c r="AF53" s="1346"/>
      <c r="AG53" s="1346"/>
      <c r="AH53" s="1346"/>
      <c r="AI53" s="1346"/>
      <c r="AJ53" s="1346"/>
      <c r="AK53" s="1346"/>
      <c r="AL53" s="1346"/>
      <c r="AM53" s="1346"/>
      <c r="AN53" s="1346"/>
      <c r="AO53" s="1346"/>
      <c r="AP53" s="1346"/>
      <c r="AQ53" s="1346"/>
      <c r="AR53" s="1346"/>
      <c r="AS53" s="1346"/>
      <c r="AT53" s="1346"/>
      <c r="AU53" s="1346"/>
      <c r="AV53" s="1346"/>
      <c r="AW53" s="1346"/>
      <c r="AX53" s="1346"/>
      <c r="AY53" s="1346"/>
      <c r="AZ53" s="1346"/>
      <c r="BA53" s="1346"/>
      <c r="BB53" s="1346"/>
      <c r="BC53" s="1346"/>
      <c r="BD53" s="1346"/>
      <c r="BE53" s="1346"/>
      <c r="BF53" s="1346"/>
      <c r="BG53" s="1346"/>
      <c r="BH53" s="1346"/>
      <c r="BI53" s="1346"/>
      <c r="BJ53" s="1346"/>
      <c r="BK53" s="1346"/>
      <c r="BL53" s="1346"/>
      <c r="BM53" s="1346"/>
      <c r="BN53" s="1346"/>
      <c r="BO53" s="1346"/>
      <c r="BP53" s="1346"/>
      <c r="BQ53" s="1346"/>
      <c r="BR53" s="1346"/>
      <c r="BS53" s="1346"/>
      <c r="BT53" s="1346"/>
      <c r="BU53" s="1346"/>
      <c r="BV53" s="1346"/>
      <c r="BW53" s="1346"/>
      <c r="BX53" s="1346"/>
      <c r="BY53" s="1346"/>
      <c r="BZ53" s="1346"/>
      <c r="CA53" s="1346"/>
      <c r="CB53" s="1346"/>
      <c r="CC53" s="1346"/>
    </row>
    <row r="54" spans="1:81">
      <c r="A54" s="1382">
        <f>A7</f>
        <v>3</v>
      </c>
      <c r="B54" s="1383" t="str">
        <f t="shared" si="5"/>
        <v>Tax Exempt Bond #3</v>
      </c>
      <c r="C54" s="1085">
        <f t="shared" si="5"/>
        <v>0</v>
      </c>
      <c r="D54" s="1350">
        <f>D7</f>
        <v>0</v>
      </c>
      <c r="E54" s="1351" t="e">
        <f ca="1">D54/DevCosts!$D$133</f>
        <v>#DIV/0!</v>
      </c>
      <c r="F54" s="1384">
        <f ca="1">G7</f>
        <v>45481.090563425925</v>
      </c>
      <c r="G54" s="1349">
        <f t="shared" si="6"/>
        <v>20</v>
      </c>
      <c r="H54" s="1349">
        <v>40</v>
      </c>
      <c r="I54" s="1385">
        <f>H7</f>
        <v>6.5000000000000002E-2</v>
      </c>
      <c r="J54" s="1350">
        <f>PMT(I54/12,H54*12,D54)*-12</f>
        <v>0</v>
      </c>
      <c r="K54" s="1386" t="str">
        <f>IF(J54&gt;0,Deal_Overview!$U$38/SUM($J$50:J54),"")</f>
        <v/>
      </c>
      <c r="L54" s="1346"/>
      <c r="M54" s="1346"/>
      <c r="N54" s="1346"/>
      <c r="O54" s="1346"/>
      <c r="P54" s="1346">
        <f t="shared" si="7"/>
        <v>0</v>
      </c>
      <c r="Q54" s="1346">
        <f t="shared" si="8"/>
        <v>0</v>
      </c>
      <c r="R54" s="1346"/>
      <c r="S54" s="1346"/>
      <c r="T54" s="1346"/>
      <c r="U54" s="1346"/>
      <c r="V54" s="1346"/>
      <c r="W54" s="1346"/>
      <c r="X54" s="1346"/>
      <c r="Y54" s="1346"/>
      <c r="Z54" s="1346"/>
      <c r="AA54" s="1346"/>
      <c r="AB54" s="1346"/>
      <c r="AC54" s="1346"/>
      <c r="AD54" s="1346"/>
      <c r="AE54" s="1346"/>
      <c r="AF54" s="1346"/>
      <c r="AG54" s="1346"/>
      <c r="AH54" s="1346"/>
      <c r="AI54" s="1346"/>
      <c r="AJ54" s="1346"/>
      <c r="AK54" s="1346"/>
      <c r="AL54" s="1346"/>
      <c r="AM54" s="1346"/>
      <c r="AN54" s="1346"/>
      <c r="AO54" s="1346"/>
      <c r="AP54" s="1346"/>
      <c r="AQ54" s="1346"/>
      <c r="AR54" s="1346"/>
      <c r="AS54" s="1346"/>
      <c r="AT54" s="1346"/>
      <c r="AU54" s="1346"/>
      <c r="AV54" s="1346"/>
      <c r="AW54" s="1346"/>
      <c r="AX54" s="1346"/>
      <c r="AY54" s="1346"/>
      <c r="AZ54" s="1346"/>
      <c r="BA54" s="1346"/>
      <c r="BB54" s="1346"/>
      <c r="BC54" s="1346"/>
      <c r="BD54" s="1346"/>
      <c r="BE54" s="1346"/>
      <c r="BF54" s="1346"/>
      <c r="BG54" s="1346"/>
      <c r="BH54" s="1346"/>
      <c r="BI54" s="1346"/>
      <c r="BJ54" s="1346"/>
      <c r="BK54" s="1346"/>
      <c r="BL54" s="1346"/>
      <c r="BM54" s="1346"/>
      <c r="BN54" s="1346"/>
      <c r="BO54" s="1346"/>
      <c r="BP54" s="1346"/>
      <c r="BQ54" s="1346"/>
      <c r="BR54" s="1346"/>
      <c r="BS54" s="1346"/>
      <c r="BT54" s="1346"/>
      <c r="BU54" s="1346"/>
      <c r="BV54" s="1346"/>
      <c r="BW54" s="1346"/>
      <c r="BX54" s="1346"/>
      <c r="BY54" s="1346"/>
      <c r="BZ54" s="1346"/>
      <c r="CA54" s="1346"/>
      <c r="CB54" s="1346"/>
      <c r="CC54" s="1346"/>
    </row>
    <row r="55" spans="1:81">
      <c r="A55" s="1382">
        <f t="shared" ref="A55:A69" si="9">A9</f>
        <v>3</v>
      </c>
      <c r="B55" s="1083" t="s">
        <v>638</v>
      </c>
      <c r="C55" s="963" t="str">
        <f t="shared" ref="C55:D59" si="10">C9</f>
        <v>Chicago DOH</v>
      </c>
      <c r="D55" s="1350">
        <f t="shared" si="10"/>
        <v>0</v>
      </c>
      <c r="E55" s="1351" t="e">
        <f ca="1">D55/DevCosts!$D$133</f>
        <v>#DIV/0!</v>
      </c>
      <c r="F55" s="1384">
        <f ca="1">G7</f>
        <v>45481.090563425925</v>
      </c>
      <c r="G55" s="1349">
        <f t="shared" si="6"/>
        <v>20</v>
      </c>
      <c r="H55" s="1349" t="s">
        <v>664</v>
      </c>
      <c r="I55" s="1385">
        <v>0</v>
      </c>
      <c r="J55" s="1350">
        <f>IF(H55="Balloon", 0, PMT(I55/12,H55*12,D55)*-12)</f>
        <v>0</v>
      </c>
      <c r="K55" s="1386" t="str">
        <f>IF(J55&gt;0,Deal_Overview!$U$38/SUM($J$50:J55),"")</f>
        <v/>
      </c>
      <c r="L55" s="1346"/>
      <c r="M55" s="1346"/>
      <c r="N55" s="1346"/>
      <c r="O55" s="1346"/>
      <c r="P55" s="1346">
        <f t="shared" si="7"/>
        <v>0</v>
      </c>
      <c r="Q55" s="1346">
        <f t="shared" si="8"/>
        <v>0</v>
      </c>
      <c r="R55" s="1346"/>
      <c r="S55" s="1346"/>
      <c r="T55" s="1346"/>
      <c r="U55" s="1346"/>
      <c r="V55" s="1346"/>
      <c r="W55" s="1346"/>
      <c r="X55" s="1346"/>
      <c r="Y55" s="1346"/>
      <c r="Z55" s="1346"/>
      <c r="AA55" s="1346"/>
      <c r="AB55" s="1346"/>
      <c r="AC55" s="1346"/>
      <c r="AD55" s="1346"/>
      <c r="AE55" s="1346"/>
      <c r="AF55" s="1346"/>
      <c r="AG55" s="1346"/>
      <c r="AH55" s="1346"/>
      <c r="AI55" s="1346"/>
      <c r="AJ55" s="1346"/>
      <c r="AK55" s="1346"/>
      <c r="AL55" s="1346"/>
      <c r="AM55" s="1346"/>
      <c r="AN55" s="1346"/>
      <c r="AO55" s="1346"/>
      <c r="AP55" s="1346"/>
      <c r="AQ55" s="1346"/>
      <c r="AR55" s="1346"/>
      <c r="AS55" s="1346"/>
      <c r="AT55" s="1346"/>
      <c r="AU55" s="1346"/>
      <c r="AV55" s="1346"/>
      <c r="AW55" s="1346"/>
      <c r="AX55" s="1346"/>
      <c r="AY55" s="1346"/>
      <c r="AZ55" s="1346"/>
      <c r="BA55" s="1346"/>
      <c r="BB55" s="1346"/>
      <c r="BC55" s="1346"/>
      <c r="BD55" s="1346"/>
      <c r="BE55" s="1346"/>
      <c r="BF55" s="1346"/>
      <c r="BG55" s="1346"/>
      <c r="BH55" s="1346"/>
      <c r="BI55" s="1346"/>
      <c r="BJ55" s="1346"/>
      <c r="BK55" s="1346"/>
      <c r="BL55" s="1346"/>
      <c r="BM55" s="1346"/>
      <c r="BN55" s="1346"/>
      <c r="BO55" s="1346"/>
      <c r="BP55" s="1346"/>
      <c r="BQ55" s="1346"/>
      <c r="BR55" s="1346"/>
      <c r="BS55" s="1346"/>
      <c r="BT55" s="1346"/>
      <c r="BU55" s="1346"/>
      <c r="BV55" s="1346"/>
      <c r="BW55" s="1346"/>
      <c r="BX55" s="1346"/>
      <c r="BY55" s="1346"/>
      <c r="BZ55" s="1346"/>
      <c r="CA55" s="1346"/>
      <c r="CB55" s="1346"/>
      <c r="CC55" s="1346"/>
    </row>
    <row r="56" spans="1:81">
      <c r="A56" s="1382">
        <f t="shared" si="9"/>
        <v>3</v>
      </c>
      <c r="B56" s="1083" t="s">
        <v>635</v>
      </c>
      <c r="C56" s="963" t="str">
        <f t="shared" si="10"/>
        <v>Chicago DOH</v>
      </c>
      <c r="D56" s="1350">
        <f t="shared" si="10"/>
        <v>0</v>
      </c>
      <c r="E56" s="1351" t="e">
        <f ca="1">D56/DevCosts!$D$133</f>
        <v>#DIV/0!</v>
      </c>
      <c r="F56" s="1384">
        <f ca="1">G8</f>
        <v>45481.090563425925</v>
      </c>
      <c r="G56" s="1349">
        <f t="shared" si="6"/>
        <v>20</v>
      </c>
      <c r="H56" s="1349" t="s">
        <v>664</v>
      </c>
      <c r="I56" s="1385">
        <v>0</v>
      </c>
      <c r="J56" s="1350">
        <f>IF(H56="Balloon", 0, PMT(I56/12,H56*12,D56)*-12)</f>
        <v>0</v>
      </c>
      <c r="K56" s="1386" t="str">
        <f>IF(J56&gt;0,Deal_Overview!$U$38/SUM($J$50:J56),"")</f>
        <v/>
      </c>
      <c r="L56" s="1346"/>
      <c r="M56" s="1346"/>
      <c r="N56" s="1346"/>
      <c r="O56" s="1346"/>
      <c r="P56" s="1346">
        <f t="shared" si="7"/>
        <v>0</v>
      </c>
      <c r="Q56" s="1346">
        <f t="shared" si="8"/>
        <v>0</v>
      </c>
      <c r="R56" s="1346"/>
      <c r="S56" s="1346"/>
      <c r="T56" s="1346"/>
      <c r="U56" s="1346"/>
      <c r="V56" s="1346"/>
      <c r="W56" s="1346"/>
      <c r="X56" s="1346"/>
      <c r="Y56" s="1346"/>
      <c r="Z56" s="1346"/>
      <c r="AA56" s="1346"/>
      <c r="AB56" s="1346"/>
      <c r="AC56" s="1346"/>
      <c r="AD56" s="1346"/>
      <c r="AE56" s="1346"/>
      <c r="AF56" s="1346"/>
      <c r="AG56" s="1346"/>
      <c r="AH56" s="1346"/>
      <c r="AI56" s="1346"/>
      <c r="AJ56" s="1346"/>
      <c r="AK56" s="1346"/>
      <c r="AL56" s="1346"/>
      <c r="AM56" s="1346"/>
      <c r="AN56" s="1346"/>
      <c r="AO56" s="1346"/>
      <c r="AP56" s="1346"/>
      <c r="AQ56" s="1346"/>
      <c r="AR56" s="1346"/>
      <c r="AS56" s="1346"/>
      <c r="AT56" s="1346"/>
      <c r="AU56" s="1346"/>
      <c r="AV56" s="1346"/>
      <c r="AW56" s="1346"/>
      <c r="AX56" s="1346"/>
      <c r="AY56" s="1346"/>
      <c r="AZ56" s="1346"/>
      <c r="BA56" s="1346"/>
      <c r="BB56" s="1346"/>
      <c r="BC56" s="1346"/>
      <c r="BD56" s="1346"/>
      <c r="BE56" s="1346"/>
      <c r="BF56" s="1346"/>
      <c r="BG56" s="1346"/>
      <c r="BH56" s="1346"/>
      <c r="BI56" s="1346"/>
      <c r="BJ56" s="1346"/>
      <c r="BK56" s="1346"/>
      <c r="BL56" s="1346"/>
      <c r="BM56" s="1346"/>
      <c r="BN56" s="1346"/>
      <c r="BO56" s="1346"/>
      <c r="BP56" s="1346"/>
      <c r="BQ56" s="1346"/>
      <c r="BR56" s="1346"/>
      <c r="BS56" s="1346"/>
      <c r="BT56" s="1346"/>
      <c r="BU56" s="1346"/>
      <c r="BV56" s="1346"/>
      <c r="BW56" s="1346"/>
      <c r="BX56" s="1346"/>
      <c r="BY56" s="1346"/>
      <c r="BZ56" s="1346"/>
      <c r="CA56" s="1346"/>
      <c r="CB56" s="1346"/>
      <c r="CC56" s="1346"/>
    </row>
    <row r="57" spans="1:81">
      <c r="A57" s="1382">
        <f t="shared" si="9"/>
        <v>4</v>
      </c>
      <c r="B57" s="1083" t="str">
        <f>B11</f>
        <v>MAUI</v>
      </c>
      <c r="C57" s="963" t="str">
        <f t="shared" si="10"/>
        <v>Other</v>
      </c>
      <c r="D57" s="1350">
        <f t="shared" si="10"/>
        <v>0</v>
      </c>
      <c r="E57" s="1351" t="e">
        <f ca="1">D57/DevCosts!$D$133</f>
        <v>#DIV/0!</v>
      </c>
      <c r="F57" s="1384">
        <f ca="1">G9</f>
        <v>45481.090563425925</v>
      </c>
      <c r="G57" s="1349">
        <f t="shared" si="6"/>
        <v>20</v>
      </c>
      <c r="H57" s="1349" t="s">
        <v>664</v>
      </c>
      <c r="I57" s="1385">
        <v>0</v>
      </c>
      <c r="J57" s="1350">
        <f>IF(H57="Balloon", 0, PMT(I57/12,H57*12,D57)*-12)</f>
        <v>0</v>
      </c>
      <c r="K57" s="1386" t="str">
        <f>IF(J57&gt;0,Deal_Overview!$U$38/SUM($J$50:J57),"")</f>
        <v/>
      </c>
      <c r="L57" s="1346"/>
      <c r="M57" s="1346"/>
      <c r="N57" s="1346"/>
      <c r="O57" s="1346"/>
      <c r="P57" s="1346">
        <f t="shared" si="7"/>
        <v>0</v>
      </c>
      <c r="Q57" s="1346">
        <f t="shared" si="8"/>
        <v>0</v>
      </c>
      <c r="R57" s="1346"/>
      <c r="S57" s="1346"/>
      <c r="T57" s="1346"/>
      <c r="U57" s="1346"/>
      <c r="V57" s="1346"/>
      <c r="W57" s="1346"/>
      <c r="X57" s="1346"/>
      <c r="Y57" s="1346"/>
      <c r="Z57" s="1346"/>
      <c r="AA57" s="1346"/>
      <c r="AB57" s="1346"/>
      <c r="AC57" s="1346"/>
      <c r="AD57" s="1346"/>
      <c r="AE57" s="1346"/>
      <c r="AF57" s="1346"/>
      <c r="AG57" s="1346"/>
      <c r="AH57" s="1346"/>
      <c r="AI57" s="1346"/>
      <c r="AJ57" s="1346"/>
      <c r="AK57" s="1346"/>
      <c r="AL57" s="1346"/>
      <c r="AM57" s="1346"/>
      <c r="AN57" s="1346"/>
      <c r="AO57" s="1346"/>
      <c r="AP57" s="1346"/>
      <c r="AQ57" s="1346"/>
      <c r="AR57" s="1346"/>
      <c r="AS57" s="1346"/>
      <c r="AT57" s="1346"/>
      <c r="AU57" s="1346"/>
      <c r="AV57" s="1346"/>
      <c r="AW57" s="1346"/>
      <c r="AX57" s="1346"/>
      <c r="AY57" s="1346"/>
      <c r="AZ57" s="1346"/>
      <c r="BA57" s="1346"/>
      <c r="BB57" s="1346"/>
      <c r="BC57" s="1346"/>
      <c r="BD57" s="1346"/>
      <c r="BE57" s="1346"/>
      <c r="BF57" s="1346"/>
      <c r="BG57" s="1346"/>
      <c r="BH57" s="1346"/>
      <c r="BI57" s="1346"/>
      <c r="BJ57" s="1346"/>
      <c r="BK57" s="1346"/>
      <c r="BL57" s="1346"/>
      <c r="BM57" s="1346"/>
      <c r="BN57" s="1346"/>
      <c r="BO57" s="1346"/>
      <c r="BP57" s="1346"/>
      <c r="BQ57" s="1346"/>
      <c r="BR57" s="1346"/>
      <c r="BS57" s="1346"/>
      <c r="BT57" s="1346"/>
      <c r="BU57" s="1346"/>
      <c r="BV57" s="1346"/>
      <c r="BW57" s="1346"/>
      <c r="BX57" s="1346"/>
      <c r="BY57" s="1346"/>
      <c r="BZ57" s="1346"/>
      <c r="CA57" s="1346"/>
      <c r="CB57" s="1346"/>
      <c r="CC57" s="1346"/>
    </row>
    <row r="58" spans="1:81">
      <c r="A58" s="1382">
        <f t="shared" si="9"/>
        <v>5</v>
      </c>
      <c r="B58" s="1083" t="str">
        <f>B12</f>
        <v>CHA Loan</v>
      </c>
      <c r="C58" s="963" t="str">
        <f t="shared" si="10"/>
        <v>CHA</v>
      </c>
      <c r="D58" s="1350">
        <f t="shared" si="10"/>
        <v>0</v>
      </c>
      <c r="E58" s="1351" t="e">
        <f ca="1">D58/DevCosts!$D$133</f>
        <v>#DIV/0!</v>
      </c>
      <c r="F58" s="1384">
        <f ca="1">G14</f>
        <v>45481.090563425925</v>
      </c>
      <c r="G58" s="1349">
        <f t="shared" si="6"/>
        <v>20</v>
      </c>
      <c r="H58" s="1349" t="s">
        <v>664</v>
      </c>
      <c r="I58" s="1385">
        <v>0</v>
      </c>
      <c r="J58" s="1350">
        <f>IF(H58="Balloon", 0, PMT(I58/12,H58*12,D58)*-12)</f>
        <v>0</v>
      </c>
      <c r="K58" s="1386" t="str">
        <f>IF(J58&gt;0,Deal_Overview!$U$38/SUM($J$50:J58),"")</f>
        <v/>
      </c>
      <c r="L58" s="1346"/>
      <c r="M58" s="1346"/>
      <c r="N58" s="1346"/>
      <c r="O58" s="1346"/>
      <c r="P58" s="1346">
        <f t="shared" si="7"/>
        <v>0</v>
      </c>
      <c r="Q58" s="1346">
        <f t="shared" si="8"/>
        <v>0</v>
      </c>
      <c r="R58" s="1346"/>
      <c r="S58" s="1346"/>
      <c r="T58" s="1346"/>
      <c r="U58" s="1346"/>
      <c r="V58" s="1346"/>
      <c r="W58" s="1346"/>
      <c r="X58" s="1346"/>
      <c r="Y58" s="1346"/>
      <c r="Z58" s="1346"/>
      <c r="AA58" s="1346"/>
      <c r="AB58" s="1346"/>
      <c r="AC58" s="1346"/>
      <c r="AD58" s="1346"/>
      <c r="AE58" s="1346"/>
      <c r="AF58" s="1346"/>
      <c r="AG58" s="1346"/>
      <c r="AH58" s="1346"/>
      <c r="AI58" s="1346"/>
      <c r="AJ58" s="1346"/>
      <c r="AK58" s="1346"/>
      <c r="AL58" s="1346"/>
      <c r="AM58" s="1346"/>
      <c r="AN58" s="1346"/>
      <c r="AO58" s="1346"/>
      <c r="AP58" s="1346"/>
      <c r="AQ58" s="1346"/>
      <c r="AR58" s="1346"/>
      <c r="AS58" s="1346"/>
      <c r="AT58" s="1346"/>
      <c r="AU58" s="1346"/>
      <c r="AV58" s="1346"/>
      <c r="AW58" s="1346"/>
      <c r="AX58" s="1346"/>
      <c r="AY58" s="1346"/>
      <c r="AZ58" s="1346"/>
      <c r="BA58" s="1346"/>
      <c r="BB58" s="1346"/>
      <c r="BC58" s="1346"/>
      <c r="BD58" s="1346"/>
      <c r="BE58" s="1346"/>
      <c r="BF58" s="1346"/>
      <c r="BG58" s="1346"/>
      <c r="BH58" s="1346"/>
      <c r="BI58" s="1346"/>
      <c r="BJ58" s="1346"/>
      <c r="BK58" s="1346"/>
      <c r="BL58" s="1346"/>
      <c r="BM58" s="1346"/>
      <c r="BN58" s="1346"/>
      <c r="BO58" s="1346"/>
      <c r="BP58" s="1346"/>
      <c r="BQ58" s="1346"/>
      <c r="BR58" s="1346"/>
      <c r="BS58" s="1346"/>
      <c r="BT58" s="1346"/>
      <c r="BU58" s="1346"/>
      <c r="BV58" s="1346"/>
      <c r="BW58" s="1346"/>
      <c r="BX58" s="1346"/>
      <c r="BY58" s="1346"/>
      <c r="BZ58" s="1346"/>
      <c r="CA58" s="1346"/>
      <c r="CB58" s="1346"/>
      <c r="CC58" s="1346"/>
    </row>
    <row r="59" spans="1:81">
      <c r="A59" s="1382">
        <f t="shared" si="9"/>
        <v>5</v>
      </c>
      <c r="B59" s="1083" t="str">
        <f>B13</f>
        <v>IHDA Loan</v>
      </c>
      <c r="C59" s="963" t="str">
        <f t="shared" si="10"/>
        <v>IHDA</v>
      </c>
      <c r="D59" s="1350">
        <f t="shared" si="10"/>
        <v>0</v>
      </c>
      <c r="E59" s="1351" t="e">
        <f ca="1">D59/DevCosts!$D$133</f>
        <v>#DIV/0!</v>
      </c>
      <c r="F59" s="1384">
        <f ca="1">G12</f>
        <v>45481.090563425925</v>
      </c>
      <c r="G59" s="1349">
        <f t="shared" si="6"/>
        <v>20</v>
      </c>
      <c r="H59" s="1349" t="s">
        <v>664</v>
      </c>
      <c r="I59" s="1385">
        <f>H13</f>
        <v>0</v>
      </c>
      <c r="J59" s="1350">
        <f>IF(H59="Balloon", 0, PMT(I59/12,H59*12,D59)*-12)</f>
        <v>0</v>
      </c>
      <c r="K59" s="1386" t="str">
        <f>IF(J59&gt;0,Deal_Overview!$U$38/SUM($J$50:J59),"")</f>
        <v/>
      </c>
      <c r="L59" s="1346"/>
      <c r="M59" s="1346"/>
      <c r="N59" s="1346"/>
      <c r="O59" s="1346"/>
      <c r="P59" s="1346">
        <f t="shared" si="7"/>
        <v>0</v>
      </c>
      <c r="Q59" s="1346">
        <f t="shared" si="8"/>
        <v>0</v>
      </c>
      <c r="R59" s="1346"/>
      <c r="S59" s="1346"/>
      <c r="T59" s="1346"/>
      <c r="U59" s="1346"/>
      <c r="V59" s="1346"/>
      <c r="W59" s="1346"/>
      <c r="X59" s="1346"/>
      <c r="Y59" s="1346"/>
      <c r="Z59" s="1346"/>
      <c r="AA59" s="1346"/>
      <c r="AB59" s="1346"/>
      <c r="AC59" s="1346"/>
      <c r="AD59" s="1346"/>
      <c r="AE59" s="1346"/>
      <c r="AF59" s="1346"/>
      <c r="AG59" s="1346"/>
      <c r="AH59" s="1346"/>
      <c r="AI59" s="1346"/>
      <c r="AJ59" s="1346"/>
      <c r="AK59" s="1346"/>
      <c r="AL59" s="1346"/>
      <c r="AM59" s="1346"/>
      <c r="AN59" s="1346"/>
      <c r="AO59" s="1346"/>
      <c r="AP59" s="1346"/>
      <c r="AQ59" s="1346"/>
      <c r="AR59" s="1346"/>
      <c r="AS59" s="1346"/>
      <c r="AT59" s="1346"/>
      <c r="AU59" s="1346"/>
      <c r="AV59" s="1346"/>
      <c r="AW59" s="1346"/>
      <c r="AX59" s="1346"/>
      <c r="AY59" s="1346"/>
      <c r="AZ59" s="1346"/>
      <c r="BA59" s="1346"/>
      <c r="BB59" s="1346"/>
      <c r="BC59" s="1346"/>
      <c r="BD59" s="1346"/>
      <c r="BE59" s="1346"/>
      <c r="BF59" s="1346"/>
      <c r="BG59" s="1346"/>
      <c r="BH59" s="1346"/>
      <c r="BI59" s="1346"/>
      <c r="BJ59" s="1346"/>
      <c r="BK59" s="1346"/>
      <c r="BL59" s="1346"/>
      <c r="BM59" s="1346"/>
      <c r="BN59" s="1346"/>
      <c r="BO59" s="1346"/>
      <c r="BP59" s="1346"/>
      <c r="BQ59" s="1346"/>
      <c r="BR59" s="1346"/>
      <c r="BS59" s="1346"/>
      <c r="BT59" s="1346"/>
      <c r="BU59" s="1346"/>
      <c r="BV59" s="1346"/>
      <c r="BW59" s="1346"/>
      <c r="BX59" s="1346"/>
      <c r="BY59" s="1346"/>
      <c r="BZ59" s="1346"/>
      <c r="CA59" s="1346"/>
      <c r="CB59" s="1346"/>
      <c r="CC59" s="1346"/>
    </row>
    <row r="60" spans="1:81">
      <c r="A60" s="1382">
        <f t="shared" si="9"/>
        <v>5</v>
      </c>
      <c r="B60" s="1083" t="s">
        <v>647</v>
      </c>
      <c r="C60" s="1387">
        <f t="shared" ref="C60:D68" si="11">C14</f>
        <v>0</v>
      </c>
      <c r="D60" s="1388">
        <f>I110</f>
        <v>0</v>
      </c>
      <c r="E60" s="1351" t="e">
        <f ca="1">D60/DevCosts!$D$133</f>
        <v>#DIV/0!</v>
      </c>
      <c r="F60" s="1384">
        <f ca="1">G10</f>
        <v>45481.090563425925</v>
      </c>
      <c r="G60" s="1349">
        <f t="shared" si="6"/>
        <v>20</v>
      </c>
      <c r="H60" s="1349" t="s">
        <v>665</v>
      </c>
      <c r="I60" s="1385">
        <f>H14</f>
        <v>0</v>
      </c>
      <c r="J60" s="1350">
        <v>0</v>
      </c>
      <c r="K60" s="1386" t="str">
        <f>IF(J60&gt;0,Deal_Overview!$U$38/SUM($J$50:J60),"")</f>
        <v/>
      </c>
      <c r="L60" s="1346"/>
      <c r="M60" s="1346"/>
      <c r="N60" s="1346"/>
      <c r="O60" s="1346"/>
      <c r="P60" s="1346">
        <f t="shared" si="7"/>
        <v>0</v>
      </c>
      <c r="Q60" s="1346">
        <f t="shared" si="8"/>
        <v>0</v>
      </c>
      <c r="R60" s="1346"/>
      <c r="S60" s="1346"/>
      <c r="T60" s="1346"/>
      <c r="U60" s="1346"/>
      <c r="V60" s="1346"/>
      <c r="W60" s="1346"/>
      <c r="X60" s="1346"/>
      <c r="Y60" s="1346"/>
      <c r="Z60" s="1346"/>
      <c r="AA60" s="1346"/>
      <c r="AB60" s="1346"/>
      <c r="AC60" s="1346"/>
      <c r="AD60" s="1346"/>
      <c r="AE60" s="1346"/>
      <c r="AF60" s="1346"/>
      <c r="AG60" s="1346"/>
      <c r="AH60" s="1346"/>
      <c r="AI60" s="1346"/>
      <c r="AJ60" s="1346"/>
      <c r="AK60" s="1346"/>
      <c r="AL60" s="1346"/>
      <c r="AM60" s="1346"/>
      <c r="AN60" s="1346"/>
      <c r="AO60" s="1346"/>
      <c r="AP60" s="1346"/>
      <c r="AQ60" s="1346"/>
      <c r="AR60" s="1346"/>
      <c r="AS60" s="1346"/>
      <c r="AT60" s="1346"/>
      <c r="AU60" s="1346"/>
      <c r="AV60" s="1346"/>
      <c r="AW60" s="1346"/>
      <c r="AX60" s="1346"/>
      <c r="AY60" s="1346"/>
      <c r="AZ60" s="1346"/>
      <c r="BA60" s="1346"/>
      <c r="BB60" s="1346"/>
      <c r="BC60" s="1346"/>
      <c r="BD60" s="1346"/>
      <c r="BE60" s="1346"/>
      <c r="BF60" s="1346"/>
      <c r="BG60" s="1346"/>
      <c r="BH60" s="1346"/>
      <c r="BI60" s="1346"/>
      <c r="BJ60" s="1346"/>
      <c r="BK60" s="1346"/>
      <c r="BL60" s="1346"/>
      <c r="BM60" s="1346"/>
      <c r="BN60" s="1346"/>
      <c r="BO60" s="1346"/>
      <c r="BP60" s="1346"/>
      <c r="BQ60" s="1346"/>
      <c r="BR60" s="1346"/>
      <c r="BS60" s="1346"/>
      <c r="BT60" s="1346"/>
      <c r="BU60" s="1346"/>
      <c r="BV60" s="1346"/>
      <c r="BW60" s="1346"/>
      <c r="BX60" s="1346"/>
      <c r="BY60" s="1346"/>
      <c r="BZ60" s="1346"/>
      <c r="CA60" s="1346"/>
      <c r="CB60" s="1346"/>
      <c r="CC60" s="1346"/>
    </row>
    <row r="61" spans="1:81">
      <c r="A61" s="1382">
        <f t="shared" si="9"/>
        <v>5</v>
      </c>
      <c r="B61" s="1083" t="s">
        <v>649</v>
      </c>
      <c r="C61" s="1387">
        <f t="shared" si="11"/>
        <v>0</v>
      </c>
      <c r="D61" s="1350">
        <f>D15</f>
        <v>0</v>
      </c>
      <c r="E61" s="1351" t="e">
        <f ca="1">D61/DevCosts!$D$133</f>
        <v>#DIV/0!</v>
      </c>
      <c r="F61" s="1384">
        <f ca="1">G11</f>
        <v>45481.090563425925</v>
      </c>
      <c r="G61" s="1349">
        <f t="shared" si="6"/>
        <v>20</v>
      </c>
      <c r="H61" s="1349" t="s">
        <v>664</v>
      </c>
      <c r="I61" s="1385">
        <f>H15</f>
        <v>0.06</v>
      </c>
      <c r="J61" s="1350">
        <f>IF(H61="Balloon", 0, PMT(I61/12,H61*12,D61)*-12)</f>
        <v>0</v>
      </c>
      <c r="K61" s="1386" t="str">
        <f>IF(J61&gt;0,Deal_Overview!$U$38/SUM($J$50:J61),"")</f>
        <v/>
      </c>
      <c r="L61" s="1346"/>
      <c r="M61" s="1346"/>
      <c r="N61" s="1346"/>
      <c r="O61" s="1346"/>
      <c r="P61" s="1346">
        <f t="shared" si="7"/>
        <v>0</v>
      </c>
      <c r="Q61" s="1346">
        <f t="shared" si="8"/>
        <v>0</v>
      </c>
      <c r="R61" s="1346"/>
      <c r="S61" s="1346"/>
      <c r="T61" s="1346"/>
      <c r="U61" s="1346"/>
      <c r="V61" s="1346"/>
      <c r="W61" s="1346"/>
      <c r="X61" s="1346"/>
      <c r="Y61" s="1346"/>
      <c r="Z61" s="1346"/>
      <c r="AA61" s="1346"/>
      <c r="AB61" s="1346"/>
      <c r="AC61" s="1346"/>
      <c r="AD61" s="1346"/>
      <c r="AE61" s="1346"/>
      <c r="AF61" s="1346"/>
      <c r="AG61" s="1346"/>
      <c r="AH61" s="1346"/>
      <c r="AI61" s="1346"/>
      <c r="AJ61" s="1346"/>
      <c r="AK61" s="1346"/>
      <c r="AL61" s="1346"/>
      <c r="AM61" s="1346"/>
      <c r="AN61" s="1346"/>
      <c r="AO61" s="1346"/>
      <c r="AP61" s="1346"/>
      <c r="AQ61" s="1346"/>
      <c r="AR61" s="1346"/>
      <c r="AS61" s="1346"/>
      <c r="AT61" s="1346"/>
      <c r="AU61" s="1346"/>
      <c r="AV61" s="1346"/>
      <c r="AW61" s="1346"/>
      <c r="AX61" s="1346"/>
      <c r="AY61" s="1346"/>
      <c r="AZ61" s="1346"/>
      <c r="BA61" s="1346"/>
      <c r="BB61" s="1346"/>
      <c r="BC61" s="1346"/>
      <c r="BD61" s="1346"/>
      <c r="BE61" s="1346"/>
      <c r="BF61" s="1346"/>
      <c r="BG61" s="1346"/>
      <c r="BH61" s="1346"/>
      <c r="BI61" s="1346"/>
      <c r="BJ61" s="1346"/>
      <c r="BK61" s="1346"/>
      <c r="BL61" s="1346"/>
      <c r="BM61" s="1346"/>
      <c r="BN61" s="1346"/>
      <c r="BO61" s="1346"/>
      <c r="BP61" s="1346"/>
      <c r="BQ61" s="1346"/>
      <c r="BR61" s="1346"/>
      <c r="BS61" s="1346"/>
      <c r="BT61" s="1346"/>
      <c r="BU61" s="1346"/>
      <c r="BV61" s="1346"/>
      <c r="BW61" s="1346"/>
      <c r="BX61" s="1346"/>
      <c r="BY61" s="1346"/>
      <c r="BZ61" s="1346"/>
      <c r="CA61" s="1346"/>
      <c r="CB61" s="1346"/>
      <c r="CC61" s="1346"/>
    </row>
    <row r="62" spans="1:81">
      <c r="A62" s="1382">
        <f t="shared" si="9"/>
        <v>5</v>
      </c>
      <c r="B62" s="1083" t="s">
        <v>650</v>
      </c>
      <c r="C62" s="1085"/>
      <c r="D62" s="1350">
        <f>D16</f>
        <v>0</v>
      </c>
      <c r="E62" s="1351" t="e">
        <f ca="1">D62/DevCosts!$D$133</f>
        <v>#DIV/0!</v>
      </c>
      <c r="F62" s="1384">
        <f ca="1">G15</f>
        <v>45481.090563425925</v>
      </c>
      <c r="G62" s="1349">
        <f t="shared" si="6"/>
        <v>20</v>
      </c>
      <c r="H62" s="1349" t="s">
        <v>664</v>
      </c>
      <c r="I62" s="1371"/>
      <c r="J62" s="1371"/>
      <c r="K62" s="1386"/>
      <c r="L62" s="1346"/>
      <c r="M62" s="1346"/>
      <c r="N62" s="1346"/>
      <c r="O62" s="1346"/>
      <c r="P62" s="1346">
        <f t="shared" si="7"/>
        <v>0</v>
      </c>
      <c r="Q62" s="1346">
        <f t="shared" si="8"/>
        <v>0</v>
      </c>
      <c r="R62" s="1346"/>
      <c r="S62" s="1346"/>
      <c r="T62" s="1346"/>
      <c r="U62" s="1346"/>
      <c r="V62" s="1346"/>
      <c r="W62" s="1346"/>
      <c r="X62" s="1346"/>
      <c r="Y62" s="1346"/>
      <c r="Z62" s="1346"/>
      <c r="AA62" s="1346"/>
      <c r="AB62" s="1346"/>
      <c r="AC62" s="1346"/>
      <c r="AD62" s="1346"/>
      <c r="AE62" s="1346"/>
      <c r="AF62" s="1346"/>
      <c r="AG62" s="1346"/>
      <c r="AH62" s="1346"/>
      <c r="AI62" s="1346"/>
      <c r="AJ62" s="1346"/>
      <c r="AK62" s="1346"/>
      <c r="AL62" s="1346"/>
      <c r="AM62" s="1346"/>
      <c r="AN62" s="1346"/>
      <c r="AO62" s="1346"/>
      <c r="AP62" s="1346"/>
      <c r="AQ62" s="1346"/>
      <c r="AR62" s="1346"/>
      <c r="AS62" s="1346"/>
      <c r="AT62" s="1346"/>
      <c r="AU62" s="1346"/>
      <c r="AV62" s="1346"/>
      <c r="AW62" s="1346"/>
      <c r="AX62" s="1346"/>
      <c r="AY62" s="1346"/>
      <c r="AZ62" s="1346"/>
      <c r="BA62" s="1346"/>
      <c r="BB62" s="1346"/>
      <c r="BC62" s="1346"/>
      <c r="BD62" s="1346"/>
      <c r="BE62" s="1346"/>
      <c r="BF62" s="1346"/>
      <c r="BG62" s="1346"/>
      <c r="BH62" s="1346"/>
      <c r="BI62" s="1346"/>
      <c r="BJ62" s="1346"/>
      <c r="BK62" s="1346"/>
      <c r="BL62" s="1346"/>
      <c r="BM62" s="1346"/>
      <c r="BN62" s="1346"/>
      <c r="BO62" s="1346"/>
      <c r="BP62" s="1346"/>
      <c r="BQ62" s="1346"/>
      <c r="BR62" s="1346"/>
      <c r="BS62" s="1346"/>
      <c r="BT62" s="1346"/>
      <c r="BU62" s="1346"/>
      <c r="BV62" s="1346"/>
      <c r="BW62" s="1346"/>
      <c r="BX62" s="1346"/>
      <c r="BY62" s="1346"/>
      <c r="BZ62" s="1346"/>
      <c r="CA62" s="1346"/>
      <c r="CB62" s="1346"/>
      <c r="CC62" s="1346"/>
    </row>
    <row r="63" spans="1:81">
      <c r="A63" s="1382">
        <f t="shared" si="9"/>
        <v>6</v>
      </c>
      <c r="B63" s="1383" t="str">
        <f>B17</f>
        <v>Grant #1</v>
      </c>
      <c r="C63" s="1085">
        <f t="shared" si="11"/>
        <v>0</v>
      </c>
      <c r="D63" s="1350">
        <f>D17</f>
        <v>0</v>
      </c>
      <c r="E63" s="1351" t="e">
        <f ca="1">D63/DevCosts!$D$133</f>
        <v>#DIV/0!</v>
      </c>
      <c r="F63" s="1384">
        <f ca="1">G12</f>
        <v>45481.090563425925</v>
      </c>
      <c r="G63" s="1349">
        <f t="shared" si="6"/>
        <v>20</v>
      </c>
      <c r="H63" s="1349" t="s">
        <v>665</v>
      </c>
      <c r="I63" s="1371"/>
      <c r="J63" s="1371"/>
      <c r="K63" s="1386"/>
      <c r="L63" s="1346"/>
      <c r="M63" s="1346"/>
      <c r="N63" s="1346"/>
      <c r="O63" s="1346"/>
      <c r="P63" s="1346">
        <f t="shared" si="7"/>
        <v>0</v>
      </c>
      <c r="Q63" s="1346">
        <f t="shared" si="8"/>
        <v>0</v>
      </c>
      <c r="R63" s="1346"/>
      <c r="S63" s="1346"/>
      <c r="T63" s="1346"/>
      <c r="U63" s="1346"/>
      <c r="V63" s="1346"/>
      <c r="W63" s="1346"/>
      <c r="X63" s="1346"/>
      <c r="Y63" s="1346"/>
      <c r="Z63" s="1346"/>
      <c r="AA63" s="1346"/>
      <c r="AB63" s="1346"/>
      <c r="AC63" s="1346"/>
      <c r="AD63" s="1346"/>
      <c r="AE63" s="1346"/>
      <c r="AF63" s="1346"/>
      <c r="AG63" s="1346"/>
      <c r="AH63" s="1346"/>
      <c r="AI63" s="1346"/>
      <c r="AJ63" s="1346"/>
      <c r="AK63" s="1346"/>
      <c r="AL63" s="1346"/>
      <c r="AM63" s="1346"/>
      <c r="AN63" s="1346"/>
      <c r="AO63" s="1346"/>
      <c r="AP63" s="1346"/>
      <c r="AQ63" s="1346"/>
      <c r="AR63" s="1346"/>
      <c r="AS63" s="1346"/>
      <c r="AT63" s="1346"/>
      <c r="AU63" s="1346"/>
      <c r="AV63" s="1346"/>
      <c r="AW63" s="1346"/>
      <c r="AX63" s="1346"/>
      <c r="AY63" s="1346"/>
      <c r="AZ63" s="1346"/>
      <c r="BA63" s="1346"/>
      <c r="BB63" s="1346"/>
      <c r="BC63" s="1346"/>
      <c r="BD63" s="1346"/>
      <c r="BE63" s="1346"/>
      <c r="BF63" s="1346"/>
      <c r="BG63" s="1346"/>
      <c r="BH63" s="1346"/>
      <c r="BI63" s="1346"/>
      <c r="BJ63" s="1346"/>
      <c r="BK63" s="1346"/>
      <c r="BL63" s="1346"/>
      <c r="BM63" s="1346"/>
      <c r="BN63" s="1346"/>
      <c r="BO63" s="1346"/>
      <c r="BP63" s="1346"/>
      <c r="BQ63" s="1346"/>
      <c r="BR63" s="1346"/>
      <c r="BS63" s="1346"/>
      <c r="BT63" s="1346"/>
      <c r="BU63" s="1346"/>
      <c r="BV63" s="1346"/>
      <c r="BW63" s="1346"/>
      <c r="BX63" s="1346"/>
      <c r="BY63" s="1346"/>
      <c r="BZ63" s="1346"/>
      <c r="CA63" s="1346"/>
      <c r="CB63" s="1346"/>
      <c r="CC63" s="1346"/>
    </row>
    <row r="64" spans="1:81">
      <c r="A64" s="1382">
        <f t="shared" si="9"/>
        <v>6</v>
      </c>
      <c r="B64" s="1383" t="s">
        <v>652</v>
      </c>
      <c r="C64" s="1389">
        <f t="shared" si="11"/>
        <v>0</v>
      </c>
      <c r="D64" s="1350">
        <f t="shared" si="11"/>
        <v>0</v>
      </c>
      <c r="E64" s="1351" t="e">
        <f ca="1">D64/DevCosts!$D$133</f>
        <v>#DIV/0!</v>
      </c>
      <c r="F64" s="1384">
        <f ca="1">G16</f>
        <v>45481.090563425925</v>
      </c>
      <c r="G64" s="1349">
        <f t="shared" si="6"/>
        <v>20</v>
      </c>
      <c r="H64" s="1349" t="s">
        <v>665</v>
      </c>
      <c r="I64" s="1371"/>
      <c r="J64" s="1371"/>
      <c r="K64" s="1386"/>
      <c r="L64" s="1346"/>
      <c r="M64" s="1346"/>
      <c r="N64" s="1346"/>
      <c r="O64" s="1346"/>
      <c r="P64" s="1346">
        <f t="shared" si="7"/>
        <v>0</v>
      </c>
      <c r="Q64" s="1346">
        <f t="shared" si="8"/>
        <v>0</v>
      </c>
      <c r="R64" s="1346"/>
      <c r="S64" s="1346"/>
      <c r="T64" s="1346"/>
      <c r="U64" s="1346"/>
      <c r="V64" s="1346"/>
      <c r="W64" s="1346"/>
      <c r="X64" s="1346"/>
      <c r="Y64" s="1346"/>
      <c r="Z64" s="1346"/>
      <c r="AA64" s="1346"/>
      <c r="AB64" s="1346"/>
      <c r="AC64" s="1346"/>
      <c r="AD64" s="1346"/>
      <c r="AE64" s="1346"/>
      <c r="AF64" s="1346"/>
      <c r="AG64" s="1346"/>
      <c r="AH64" s="1346"/>
      <c r="AI64" s="1346"/>
      <c r="AJ64" s="1346"/>
      <c r="AK64" s="1346"/>
      <c r="AL64" s="1346"/>
      <c r="AM64" s="1346"/>
      <c r="AN64" s="1346"/>
      <c r="AO64" s="1346"/>
      <c r="AP64" s="1346"/>
      <c r="AQ64" s="1346"/>
      <c r="AR64" s="1346"/>
      <c r="AS64" s="1346"/>
      <c r="AT64" s="1346"/>
      <c r="AU64" s="1346"/>
      <c r="AV64" s="1346"/>
      <c r="AW64" s="1346"/>
      <c r="AX64" s="1346"/>
      <c r="AY64" s="1346"/>
      <c r="AZ64" s="1346"/>
      <c r="BA64" s="1346"/>
      <c r="BB64" s="1346"/>
      <c r="BC64" s="1346"/>
      <c r="BD64" s="1346"/>
      <c r="BE64" s="1346"/>
      <c r="BF64" s="1346"/>
      <c r="BG64" s="1346"/>
      <c r="BH64" s="1346"/>
      <c r="BI64" s="1346"/>
      <c r="BJ64" s="1346"/>
      <c r="BK64" s="1346"/>
      <c r="BL64" s="1346"/>
      <c r="BM64" s="1346"/>
      <c r="BN64" s="1346"/>
      <c r="BO64" s="1346"/>
      <c r="BP64" s="1346"/>
      <c r="BQ64" s="1346"/>
      <c r="BR64" s="1346"/>
      <c r="BS64" s="1346"/>
      <c r="BT64" s="1346"/>
      <c r="BU64" s="1346"/>
      <c r="BV64" s="1346"/>
      <c r="BW64" s="1346"/>
      <c r="BX64" s="1346"/>
      <c r="BY64" s="1346"/>
      <c r="BZ64" s="1346"/>
      <c r="CA64" s="1346"/>
      <c r="CB64" s="1346"/>
      <c r="CC64" s="1346"/>
    </row>
    <row r="65" spans="1:81">
      <c r="A65" s="1382">
        <f t="shared" si="9"/>
        <v>6</v>
      </c>
      <c r="B65" s="1383" t="s">
        <v>653</v>
      </c>
      <c r="C65" s="1389">
        <f t="shared" si="11"/>
        <v>0</v>
      </c>
      <c r="D65" s="1350">
        <f t="shared" si="11"/>
        <v>0</v>
      </c>
      <c r="E65" s="1351" t="e">
        <f ca="1">D65/DevCosts!$D$133</f>
        <v>#DIV/0!</v>
      </c>
      <c r="F65" s="1384">
        <f ca="1">G17</f>
        <v>45481.090563425925</v>
      </c>
      <c r="G65" s="1349">
        <f t="shared" si="6"/>
        <v>20</v>
      </c>
      <c r="H65" s="1349" t="s">
        <v>665</v>
      </c>
      <c r="I65" s="1371"/>
      <c r="J65" s="1371"/>
      <c r="K65" s="1386"/>
      <c r="L65" s="1346"/>
      <c r="M65" s="1346"/>
      <c r="N65" s="1346"/>
      <c r="O65" s="1346"/>
      <c r="P65" s="1346">
        <f t="shared" si="7"/>
        <v>0</v>
      </c>
      <c r="Q65" s="1346">
        <f t="shared" si="8"/>
        <v>0</v>
      </c>
      <c r="R65" s="1346"/>
      <c r="S65" s="1346"/>
      <c r="T65" s="1346"/>
      <c r="U65" s="1346"/>
      <c r="V65" s="1346"/>
      <c r="W65" s="1346"/>
      <c r="X65" s="1346"/>
      <c r="Y65" s="1346"/>
      <c r="Z65" s="1346"/>
      <c r="AA65" s="1346"/>
      <c r="AB65" s="1346"/>
      <c r="AC65" s="1346"/>
      <c r="AD65" s="1346"/>
      <c r="AE65" s="1346"/>
      <c r="AF65" s="1346"/>
      <c r="AG65" s="1346"/>
      <c r="AH65" s="1346"/>
      <c r="AI65" s="1346"/>
      <c r="AJ65" s="1346"/>
      <c r="AK65" s="1346"/>
      <c r="AL65" s="1346"/>
      <c r="AM65" s="1346"/>
      <c r="AN65" s="1346"/>
      <c r="AO65" s="1346"/>
      <c r="AP65" s="1346"/>
      <c r="AQ65" s="1346"/>
      <c r="AR65" s="1346"/>
      <c r="AS65" s="1346"/>
      <c r="AT65" s="1346"/>
      <c r="AU65" s="1346"/>
      <c r="AV65" s="1346"/>
      <c r="AW65" s="1346"/>
      <c r="AX65" s="1346"/>
      <c r="AY65" s="1346"/>
      <c r="AZ65" s="1346"/>
      <c r="BA65" s="1346"/>
      <c r="BB65" s="1346"/>
      <c r="BC65" s="1346"/>
      <c r="BD65" s="1346"/>
      <c r="BE65" s="1346"/>
      <c r="BF65" s="1346"/>
      <c r="BG65" s="1346"/>
      <c r="BH65" s="1346"/>
      <c r="BI65" s="1346"/>
      <c r="BJ65" s="1346"/>
      <c r="BK65" s="1346"/>
      <c r="BL65" s="1346"/>
      <c r="BM65" s="1346"/>
      <c r="BN65" s="1346"/>
      <c r="BO65" s="1346"/>
      <c r="BP65" s="1346"/>
      <c r="BQ65" s="1346"/>
      <c r="BR65" s="1346"/>
      <c r="BS65" s="1346"/>
      <c r="BT65" s="1346"/>
      <c r="BU65" s="1346"/>
      <c r="BV65" s="1346"/>
      <c r="BW65" s="1346"/>
      <c r="BX65" s="1346"/>
      <c r="BY65" s="1346"/>
      <c r="BZ65" s="1346"/>
      <c r="CA65" s="1346"/>
      <c r="CB65" s="1346"/>
      <c r="CC65" s="1346"/>
    </row>
    <row r="66" spans="1:81">
      <c r="A66" s="1382">
        <f t="shared" si="9"/>
        <v>6</v>
      </c>
      <c r="B66" s="1383" t="s">
        <v>654</v>
      </c>
      <c r="C66" s="1389">
        <f t="shared" si="11"/>
        <v>0</v>
      </c>
      <c r="D66" s="1350">
        <f t="shared" si="11"/>
        <v>0</v>
      </c>
      <c r="E66" s="1351" t="e">
        <f ca="1">D66/DevCosts!$D$133</f>
        <v>#DIV/0!</v>
      </c>
      <c r="F66" s="1384">
        <f ca="1">G18</f>
        <v>45481.090563425925</v>
      </c>
      <c r="G66" s="1349">
        <f t="shared" si="6"/>
        <v>20</v>
      </c>
      <c r="H66" s="1349" t="s">
        <v>665</v>
      </c>
      <c r="I66" s="1371"/>
      <c r="J66" s="1371"/>
      <c r="K66" s="1386"/>
      <c r="L66" s="1346"/>
      <c r="M66" s="1346"/>
      <c r="N66" s="1346"/>
      <c r="O66" s="1346"/>
      <c r="P66" s="1346">
        <f t="shared" si="7"/>
        <v>0</v>
      </c>
      <c r="Q66" s="1346">
        <f t="shared" si="8"/>
        <v>0</v>
      </c>
      <c r="R66" s="1346"/>
      <c r="S66" s="1346"/>
      <c r="T66" s="1346"/>
      <c r="U66" s="1346"/>
      <c r="V66" s="1346"/>
      <c r="W66" s="1346"/>
      <c r="X66" s="1346"/>
      <c r="Y66" s="1346"/>
      <c r="Z66" s="1346"/>
      <c r="AA66" s="1346"/>
      <c r="AB66" s="1346"/>
      <c r="AC66" s="1346"/>
      <c r="AD66" s="1346"/>
      <c r="AE66" s="1346"/>
      <c r="AF66" s="1346"/>
      <c r="AG66" s="1346"/>
      <c r="AH66" s="1346"/>
      <c r="AI66" s="1346"/>
      <c r="AJ66" s="1346"/>
      <c r="AK66" s="1346"/>
      <c r="AL66" s="1346"/>
      <c r="AM66" s="1346"/>
      <c r="AN66" s="1346"/>
      <c r="AO66" s="1346"/>
      <c r="AP66" s="1346"/>
      <c r="AQ66" s="1346"/>
      <c r="AR66" s="1346"/>
      <c r="AS66" s="1346"/>
      <c r="AT66" s="1346"/>
      <c r="AU66" s="1346"/>
      <c r="AV66" s="1346"/>
      <c r="AW66" s="1346"/>
      <c r="AX66" s="1346"/>
      <c r="AY66" s="1346"/>
      <c r="AZ66" s="1346"/>
      <c r="BA66" s="1346"/>
      <c r="BB66" s="1346"/>
      <c r="BC66" s="1346"/>
      <c r="BD66" s="1346"/>
      <c r="BE66" s="1346"/>
      <c r="BF66" s="1346"/>
      <c r="BG66" s="1346"/>
      <c r="BH66" s="1346"/>
      <c r="BI66" s="1346"/>
      <c r="BJ66" s="1346"/>
      <c r="BK66" s="1346"/>
      <c r="BL66" s="1346"/>
      <c r="BM66" s="1346"/>
      <c r="BN66" s="1346"/>
      <c r="BO66" s="1346"/>
      <c r="BP66" s="1346"/>
      <c r="BQ66" s="1346"/>
      <c r="BR66" s="1346"/>
      <c r="BS66" s="1346"/>
      <c r="BT66" s="1346"/>
      <c r="BU66" s="1346"/>
      <c r="BV66" s="1346"/>
      <c r="BW66" s="1346"/>
      <c r="BX66" s="1346"/>
      <c r="BY66" s="1346"/>
      <c r="BZ66" s="1346"/>
      <c r="CA66" s="1346"/>
      <c r="CB66" s="1346"/>
      <c r="CC66" s="1346"/>
    </row>
    <row r="67" spans="1:81">
      <c r="A67" s="1382">
        <f t="shared" si="9"/>
        <v>6</v>
      </c>
      <c r="B67" s="1083" t="s">
        <v>394</v>
      </c>
      <c r="C67" s="1390">
        <f t="shared" si="11"/>
        <v>0</v>
      </c>
      <c r="D67" s="1350">
        <f t="shared" si="11"/>
        <v>0</v>
      </c>
      <c r="E67" s="1351" t="e">
        <f ca="1">D67/DevCosts!$D$133</f>
        <v>#DIV/0!</v>
      </c>
      <c r="F67" s="1391"/>
      <c r="G67" s="1373"/>
      <c r="H67" s="1371"/>
      <c r="I67" s="1371"/>
      <c r="J67" s="1371"/>
      <c r="K67" s="1386"/>
      <c r="L67" s="1346"/>
      <c r="M67" s="1346"/>
      <c r="N67" s="1346"/>
      <c r="O67" s="1346"/>
      <c r="P67" s="1346">
        <f t="shared" si="7"/>
        <v>0</v>
      </c>
      <c r="Q67" s="1346">
        <f t="shared" si="8"/>
        <v>0</v>
      </c>
      <c r="R67" s="1346"/>
      <c r="S67" s="1346"/>
      <c r="T67" s="1346"/>
      <c r="U67" s="1346"/>
      <c r="V67" s="1346"/>
      <c r="W67" s="1346"/>
      <c r="X67" s="1346"/>
      <c r="Y67" s="1346"/>
      <c r="Z67" s="1346"/>
      <c r="AA67" s="1346"/>
      <c r="AB67" s="1346"/>
      <c r="AC67" s="1346"/>
      <c r="AD67" s="1346"/>
      <c r="AE67" s="1346"/>
      <c r="AF67" s="1346"/>
      <c r="AG67" s="1346"/>
      <c r="AH67" s="1346"/>
      <c r="AI67" s="1346"/>
      <c r="AJ67" s="1346"/>
      <c r="AK67" s="1346"/>
      <c r="AL67" s="1346"/>
      <c r="AM67" s="1346"/>
      <c r="AN67" s="1346"/>
      <c r="AO67" s="1346"/>
      <c r="AP67" s="1346"/>
      <c r="AQ67" s="1346"/>
      <c r="AR67" s="1346"/>
      <c r="AS67" s="1346"/>
      <c r="AT67" s="1346"/>
      <c r="AU67" s="1346"/>
      <c r="AV67" s="1346"/>
      <c r="AW67" s="1346"/>
      <c r="AX67" s="1346"/>
      <c r="AY67" s="1346"/>
      <c r="AZ67" s="1346"/>
      <c r="BA67" s="1346"/>
      <c r="BB67" s="1346"/>
      <c r="BC67" s="1346"/>
      <c r="BD67" s="1346"/>
      <c r="BE67" s="1346"/>
      <c r="BF67" s="1346"/>
      <c r="BG67" s="1346"/>
      <c r="BH67" s="1346"/>
      <c r="BI67" s="1346"/>
      <c r="BJ67" s="1346"/>
      <c r="BK67" s="1346"/>
      <c r="BL67" s="1346"/>
      <c r="BM67" s="1346"/>
      <c r="BN67" s="1346"/>
      <c r="BO67" s="1346"/>
      <c r="BP67" s="1346"/>
      <c r="BQ67" s="1346"/>
      <c r="BR67" s="1346"/>
      <c r="BS67" s="1346"/>
      <c r="BT67" s="1346"/>
      <c r="BU67" s="1346"/>
      <c r="BV67" s="1346"/>
      <c r="BW67" s="1346"/>
      <c r="BX67" s="1346"/>
      <c r="BY67" s="1346"/>
      <c r="BZ67" s="1346"/>
      <c r="CA67" s="1346"/>
      <c r="CB67" s="1346"/>
      <c r="CC67" s="1346"/>
    </row>
    <row r="68" spans="1:81">
      <c r="A68" s="1382">
        <f t="shared" si="9"/>
        <v>6</v>
      </c>
      <c r="B68" s="1083" t="s">
        <v>655</v>
      </c>
      <c r="C68" s="1801" t="str">
        <f>C22</f>
        <v>General Partner Name</v>
      </c>
      <c r="D68" s="1350">
        <f t="shared" si="11"/>
        <v>100</v>
      </c>
      <c r="E68" s="1351" t="e">
        <f ca="1">D68/DevCosts!$D$133</f>
        <v>#DIV/0!</v>
      </c>
      <c r="F68" s="1391"/>
      <c r="G68" s="1373"/>
      <c r="H68" s="1371"/>
      <c r="I68" s="1371"/>
      <c r="J68" s="1371"/>
      <c r="K68" s="1386"/>
      <c r="L68" s="1346"/>
      <c r="M68" s="1346"/>
      <c r="N68" s="1346"/>
      <c r="O68" s="1346"/>
      <c r="P68" s="1346">
        <f t="shared" si="7"/>
        <v>0</v>
      </c>
      <c r="Q68" s="1346">
        <f t="shared" si="8"/>
        <v>0</v>
      </c>
      <c r="R68" s="1346"/>
      <c r="S68" s="1346"/>
      <c r="T68" s="1346"/>
      <c r="U68" s="1346"/>
      <c r="V68" s="1346"/>
      <c r="W68" s="1346"/>
      <c r="X68" s="1346"/>
      <c r="Y68" s="1346"/>
      <c r="Z68" s="1346"/>
      <c r="AA68" s="1346"/>
      <c r="AB68" s="1346"/>
      <c r="AC68" s="1346"/>
      <c r="AD68" s="1346"/>
      <c r="AE68" s="1346"/>
      <c r="AF68" s="1346"/>
      <c r="AG68" s="1346"/>
      <c r="AH68" s="1346"/>
      <c r="AI68" s="1346"/>
      <c r="AJ68" s="1346"/>
      <c r="AK68" s="1346"/>
      <c r="AL68" s="1346"/>
      <c r="AM68" s="1346"/>
      <c r="AN68" s="1346"/>
      <c r="AO68" s="1346"/>
      <c r="AP68" s="1346"/>
      <c r="AQ68" s="1346"/>
      <c r="AR68" s="1346"/>
      <c r="AS68" s="1346"/>
      <c r="AT68" s="1346"/>
      <c r="AU68" s="1346"/>
      <c r="AV68" s="1346"/>
      <c r="AW68" s="1346"/>
      <c r="AX68" s="1346"/>
      <c r="AY68" s="1346"/>
      <c r="AZ68" s="1346"/>
      <c r="BA68" s="1346"/>
      <c r="BB68" s="1346"/>
      <c r="BC68" s="1346"/>
      <c r="BD68" s="1346"/>
      <c r="BE68" s="1346"/>
      <c r="BF68" s="1346"/>
      <c r="BG68" s="1346"/>
      <c r="BH68" s="1346"/>
      <c r="BI68" s="1346"/>
      <c r="BJ68" s="1346"/>
      <c r="BK68" s="1346"/>
      <c r="BL68" s="1346"/>
      <c r="BM68" s="1346"/>
      <c r="BN68" s="1346"/>
      <c r="BO68" s="1346"/>
      <c r="BP68" s="1346"/>
      <c r="BQ68" s="1346"/>
      <c r="BR68" s="1346"/>
      <c r="BS68" s="1346"/>
      <c r="BT68" s="1346"/>
      <c r="BU68" s="1346"/>
      <c r="BV68" s="1346"/>
      <c r="BW68" s="1346"/>
      <c r="BX68" s="1346"/>
      <c r="BY68" s="1346"/>
      <c r="BZ68" s="1346"/>
      <c r="CA68" s="1346"/>
      <c r="CB68" s="1346"/>
      <c r="CC68" s="1346"/>
    </row>
    <row r="69" spans="1:81" ht="13.7" customHeight="1">
      <c r="A69" s="1382">
        <f t="shared" si="9"/>
        <v>7</v>
      </c>
      <c r="B69" s="1083" t="s">
        <v>657</v>
      </c>
      <c r="C69" s="1801" t="str">
        <f>C23</f>
        <v>Syndicator/ Investor</v>
      </c>
      <c r="D69" s="1388">
        <f>Setup!L25</f>
        <v>0</v>
      </c>
      <c r="E69" s="1351" t="e">
        <f ca="1">D69/DevCosts!$D$133</f>
        <v>#DIV/0!</v>
      </c>
      <c r="F69" s="1392"/>
      <c r="G69" s="1373"/>
      <c r="H69" s="1371"/>
      <c r="I69" s="1371"/>
      <c r="J69" s="1371"/>
      <c r="K69" s="1393"/>
      <c r="L69" s="1346"/>
      <c r="M69" s="1346"/>
      <c r="N69" s="1346"/>
      <c r="O69" s="1346"/>
      <c r="P69" s="1346">
        <f t="shared" si="7"/>
        <v>0</v>
      </c>
      <c r="Q69" s="1346">
        <f t="shared" si="8"/>
        <v>0</v>
      </c>
      <c r="R69" s="1346"/>
      <c r="S69" s="1346"/>
      <c r="T69" s="1346"/>
      <c r="U69" s="1346"/>
      <c r="V69" s="1346"/>
      <c r="W69" s="1346"/>
      <c r="X69" s="1346"/>
      <c r="Y69" s="1346"/>
      <c r="Z69" s="1346"/>
      <c r="AA69" s="1346"/>
      <c r="AB69" s="1346"/>
      <c r="AC69" s="1346"/>
      <c r="AD69" s="1346"/>
      <c r="AE69" s="1346"/>
      <c r="AF69" s="1346"/>
      <c r="AG69" s="1346"/>
      <c r="AH69" s="1346"/>
      <c r="AI69" s="1346"/>
      <c r="AJ69" s="1346"/>
      <c r="AK69" s="1346"/>
      <c r="AL69" s="1346"/>
      <c r="AM69" s="1346"/>
      <c r="AN69" s="1346"/>
      <c r="AO69" s="1346"/>
      <c r="AP69" s="1346"/>
      <c r="AQ69" s="1346"/>
      <c r="AR69" s="1346"/>
      <c r="AS69" s="1346"/>
      <c r="AT69" s="1346"/>
      <c r="AU69" s="1346"/>
      <c r="AV69" s="1346"/>
      <c r="AW69" s="1346"/>
      <c r="AX69" s="1346"/>
      <c r="AY69" s="1346"/>
      <c r="AZ69" s="1346"/>
      <c r="BA69" s="1346"/>
      <c r="BB69" s="1346"/>
      <c r="BC69" s="1346"/>
      <c r="BD69" s="1346"/>
      <c r="BE69" s="1346"/>
      <c r="BF69" s="1346"/>
      <c r="BG69" s="1346"/>
      <c r="BH69" s="1346"/>
      <c r="BI69" s="1346"/>
      <c r="BJ69" s="1346"/>
      <c r="BK69" s="1346"/>
      <c r="BL69" s="1346"/>
      <c r="BM69" s="1346"/>
      <c r="BN69" s="1346"/>
      <c r="BO69" s="1346"/>
      <c r="BP69" s="1346"/>
      <c r="BQ69" s="1346"/>
      <c r="BR69" s="1346"/>
      <c r="BS69" s="1346"/>
      <c r="BT69" s="1346"/>
      <c r="BU69" s="1346"/>
      <c r="BV69" s="1346"/>
      <c r="BW69" s="1346"/>
      <c r="BX69" s="1346"/>
      <c r="BY69" s="1346"/>
      <c r="BZ69" s="1346"/>
      <c r="CA69" s="1346"/>
      <c r="CB69" s="1346"/>
      <c r="CC69" s="1346"/>
    </row>
    <row r="70" spans="1:81" s="324" customFormat="1">
      <c r="A70" s="318" t="s">
        <v>528</v>
      </c>
      <c r="B70" s="319"/>
      <c r="C70" s="333"/>
      <c r="D70" s="334">
        <f>SUM(D50:D69)</f>
        <v>100</v>
      </c>
      <c r="E70" s="726" t="e">
        <f ca="1">D70/DevCosts!$D$133</f>
        <v>#DIV/0!</v>
      </c>
      <c r="F70" s="1947" t="s">
        <v>666</v>
      </c>
      <c r="G70" s="1947"/>
      <c r="H70" s="322">
        <f ca="1">D70-DevCosts!$D$133</f>
        <v>100</v>
      </c>
      <c r="I70" s="320"/>
      <c r="J70" s="335">
        <f>SUM(J50:J69)</f>
        <v>0</v>
      </c>
      <c r="K70" s="1394" t="str">
        <f>IF(J70&gt;0,Deal_Overview!$U$38/Sources!J70,"")</f>
        <v/>
      </c>
      <c r="L70" s="325"/>
      <c r="M70" s="325"/>
      <c r="N70" s="325"/>
      <c r="O70" s="325"/>
      <c r="P70" s="325">
        <f>SUM(P50:P69)</f>
        <v>0</v>
      </c>
      <c r="Q70" s="325">
        <f>SUM(Q50:Q69)</f>
        <v>0</v>
      </c>
      <c r="R70" s="325"/>
      <c r="S70" s="325"/>
      <c r="T70" s="325"/>
      <c r="U70" s="325"/>
      <c r="V70" s="325"/>
      <c r="W70" s="325"/>
      <c r="X70" s="325"/>
      <c r="Y70" s="325"/>
      <c r="Z70" s="325"/>
      <c r="AA70" s="325"/>
      <c r="AB70" s="325"/>
      <c r="AC70" s="325"/>
      <c r="AD70" s="325"/>
      <c r="AE70" s="325"/>
      <c r="AF70" s="325"/>
      <c r="AG70" s="325"/>
      <c r="AH70" s="325"/>
      <c r="AI70" s="325"/>
      <c r="AJ70" s="325"/>
      <c r="AK70" s="325"/>
      <c r="AL70" s="325"/>
      <c r="AM70" s="325"/>
      <c r="AN70" s="325"/>
      <c r="AO70" s="325"/>
      <c r="AP70" s="325"/>
      <c r="AQ70" s="325"/>
      <c r="AR70" s="325"/>
      <c r="AS70" s="325"/>
      <c r="AT70" s="325"/>
      <c r="AU70" s="325"/>
      <c r="AV70" s="325"/>
      <c r="AW70" s="325"/>
      <c r="AX70" s="325"/>
      <c r="AY70" s="325"/>
      <c r="AZ70" s="325"/>
      <c r="BA70" s="325"/>
      <c r="BB70" s="325"/>
      <c r="BC70" s="325"/>
      <c r="BD70" s="325"/>
      <c r="BE70" s="325"/>
      <c r="BF70" s="325"/>
      <c r="BG70" s="325"/>
      <c r="BH70" s="325"/>
      <c r="BI70" s="325"/>
      <c r="BJ70" s="325"/>
      <c r="BK70" s="325"/>
      <c r="BL70" s="325"/>
      <c r="BM70" s="325"/>
      <c r="BN70" s="325"/>
      <c r="BO70" s="325"/>
      <c r="BP70" s="325"/>
      <c r="BQ70" s="325"/>
      <c r="BR70" s="325"/>
      <c r="BS70" s="325"/>
      <c r="BT70" s="325"/>
      <c r="BU70" s="325"/>
      <c r="BV70" s="325"/>
      <c r="BW70" s="325"/>
      <c r="BX70" s="325"/>
      <c r="BY70" s="325"/>
      <c r="BZ70" s="325"/>
      <c r="CA70" s="325"/>
      <c r="CB70" s="325"/>
      <c r="CC70" s="325"/>
    </row>
    <row r="72" spans="1:81" s="324" customFormat="1" hidden="1">
      <c r="A72" s="305" t="s">
        <v>622</v>
      </c>
      <c r="B72" s="306" t="s">
        <v>623</v>
      </c>
      <c r="C72" s="328" t="s">
        <v>277</v>
      </c>
      <c r="D72" s="329"/>
      <c r="E72" s="329"/>
      <c r="F72" s="329"/>
      <c r="G72" s="330"/>
      <c r="H72" s="329"/>
      <c r="I72" s="329"/>
      <c r="J72" s="329"/>
      <c r="K72" s="329"/>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c r="BZ72" s="325"/>
      <c r="CA72" s="325"/>
      <c r="CB72" s="325"/>
      <c r="CC72" s="325"/>
    </row>
    <row r="73" spans="1:81" hidden="1">
      <c r="A73" s="584">
        <f t="shared" ref="A73:B88" si="12">A50</f>
        <v>1</v>
      </c>
      <c r="B73" s="1082" t="str">
        <f t="shared" si="12"/>
        <v>Private Loan #1</v>
      </c>
      <c r="C73" s="1943"/>
      <c r="D73" s="1943"/>
      <c r="E73" s="1943"/>
      <c r="F73" s="1943"/>
      <c r="G73" s="1943"/>
      <c r="H73" s="1943"/>
      <c r="I73" s="1943"/>
      <c r="J73" s="1943"/>
      <c r="K73" s="1943"/>
      <c r="L73" s="1346"/>
      <c r="M73" s="1346"/>
      <c r="N73" s="1346"/>
      <c r="O73" s="1346"/>
      <c r="P73" s="1346"/>
      <c r="Q73" s="1346"/>
      <c r="R73" s="1346"/>
      <c r="S73" s="1346"/>
      <c r="T73" s="1346"/>
      <c r="U73" s="1346"/>
      <c r="V73" s="1346"/>
      <c r="W73" s="1346"/>
      <c r="X73" s="1346"/>
      <c r="Y73" s="1346"/>
      <c r="Z73" s="1346"/>
      <c r="AA73" s="1346"/>
      <c r="AB73" s="1346"/>
      <c r="AC73" s="1346"/>
      <c r="AD73" s="1346"/>
      <c r="AE73" s="1346"/>
      <c r="AF73" s="1346"/>
      <c r="AG73" s="1346"/>
      <c r="AH73" s="1346"/>
      <c r="AI73" s="1346"/>
      <c r="AJ73" s="1346"/>
      <c r="AK73" s="1346"/>
      <c r="AL73" s="1346"/>
      <c r="AM73" s="1346"/>
      <c r="AN73" s="1346"/>
      <c r="AO73" s="1346"/>
      <c r="AP73" s="1346"/>
      <c r="AQ73" s="1346"/>
      <c r="AR73" s="1346"/>
      <c r="AS73" s="1346"/>
      <c r="AT73" s="1346"/>
      <c r="AU73" s="1346"/>
      <c r="AV73" s="1346"/>
      <c r="AW73" s="1346"/>
      <c r="AX73" s="1346"/>
      <c r="AY73" s="1346"/>
      <c r="AZ73" s="1346"/>
      <c r="BA73" s="1346"/>
      <c r="BB73" s="1346"/>
      <c r="BC73" s="1346"/>
      <c r="BD73" s="1346"/>
      <c r="BE73" s="1346"/>
      <c r="BF73" s="1346"/>
      <c r="BG73" s="1346"/>
      <c r="BH73" s="1346"/>
      <c r="BI73" s="1346"/>
      <c r="BJ73" s="1346"/>
      <c r="BK73" s="1346"/>
      <c r="BL73" s="1346"/>
      <c r="BM73" s="1346"/>
      <c r="BN73" s="1346"/>
      <c r="BO73" s="1346"/>
      <c r="BP73" s="1346"/>
      <c r="BQ73" s="1346"/>
      <c r="BR73" s="1346"/>
      <c r="BS73" s="1346"/>
      <c r="BT73" s="1346"/>
      <c r="BU73" s="1346"/>
      <c r="BV73" s="1346"/>
      <c r="BW73" s="1346"/>
      <c r="BX73" s="1346"/>
      <c r="BY73" s="1346"/>
      <c r="BZ73" s="1346"/>
      <c r="CA73" s="1346"/>
      <c r="CB73" s="1346"/>
      <c r="CC73" s="1346"/>
    </row>
    <row r="74" spans="1:81" hidden="1">
      <c r="A74" s="584">
        <f>A51</f>
        <v>2</v>
      </c>
      <c r="B74" s="1082" t="str">
        <f t="shared" si="12"/>
        <v>Private Loan #2</v>
      </c>
      <c r="C74" s="1943" t="s">
        <v>180</v>
      </c>
      <c r="D74" s="1943"/>
      <c r="E74" s="1943"/>
      <c r="F74" s="1943"/>
      <c r="G74" s="1943"/>
      <c r="H74" s="1943"/>
      <c r="I74" s="1943"/>
      <c r="J74" s="1943"/>
      <c r="K74" s="1943"/>
      <c r="L74" s="1346"/>
      <c r="M74" s="1346"/>
      <c r="N74" s="1346"/>
      <c r="O74" s="1346"/>
      <c r="P74" s="1346"/>
      <c r="Q74" s="1346"/>
      <c r="R74" s="1346"/>
      <c r="S74" s="1346"/>
      <c r="T74" s="1346"/>
      <c r="U74" s="1346"/>
      <c r="V74" s="1346"/>
      <c r="W74" s="1346"/>
      <c r="X74" s="1346"/>
      <c r="Y74" s="1346"/>
      <c r="Z74" s="1346"/>
      <c r="AA74" s="1346"/>
      <c r="AB74" s="1346"/>
      <c r="AC74" s="1346"/>
      <c r="AD74" s="1346"/>
      <c r="AE74" s="1346"/>
      <c r="AF74" s="1346"/>
      <c r="AG74" s="1346"/>
      <c r="AH74" s="1346"/>
      <c r="AI74" s="1346"/>
      <c r="AJ74" s="1346"/>
      <c r="AK74" s="1346"/>
      <c r="AL74" s="1346"/>
      <c r="AM74" s="1346"/>
      <c r="AN74" s="1346"/>
      <c r="AO74" s="1346"/>
      <c r="AP74" s="1346"/>
      <c r="AQ74" s="1346"/>
      <c r="AR74" s="1346"/>
      <c r="AS74" s="1346"/>
      <c r="AT74" s="1346"/>
      <c r="AU74" s="1346"/>
      <c r="AV74" s="1346"/>
      <c r="AW74" s="1346"/>
      <c r="AX74" s="1346"/>
      <c r="AY74" s="1346"/>
      <c r="AZ74" s="1346"/>
      <c r="BA74" s="1346"/>
      <c r="BB74" s="1346"/>
      <c r="BC74" s="1346"/>
      <c r="BD74" s="1346"/>
      <c r="BE74" s="1346"/>
      <c r="BF74" s="1346"/>
      <c r="BG74" s="1346"/>
      <c r="BH74" s="1346"/>
      <c r="BI74" s="1346"/>
      <c r="BJ74" s="1346"/>
      <c r="BK74" s="1346"/>
      <c r="BL74" s="1346"/>
      <c r="BM74" s="1346"/>
      <c r="BN74" s="1346"/>
      <c r="BO74" s="1346"/>
      <c r="BP74" s="1346"/>
      <c r="BQ74" s="1346"/>
      <c r="BR74" s="1346"/>
      <c r="BS74" s="1346"/>
      <c r="BT74" s="1346"/>
      <c r="BU74" s="1346"/>
      <c r="BV74" s="1346"/>
      <c r="BW74" s="1346"/>
      <c r="BX74" s="1346"/>
      <c r="BY74" s="1346"/>
      <c r="BZ74" s="1346"/>
      <c r="CA74" s="1346"/>
      <c r="CB74" s="1346"/>
      <c r="CC74" s="1346"/>
    </row>
    <row r="75" spans="1:81" hidden="1">
      <c r="A75" s="584">
        <f t="shared" si="12"/>
        <v>1</v>
      </c>
      <c r="B75" s="1082" t="str">
        <f t="shared" si="12"/>
        <v>Tax Exempt Bond #1</v>
      </c>
      <c r="C75" s="1943"/>
      <c r="D75" s="1943"/>
      <c r="E75" s="1943"/>
      <c r="F75" s="1943"/>
      <c r="G75" s="1943"/>
      <c r="H75" s="1943"/>
      <c r="I75" s="1943"/>
      <c r="J75" s="1943"/>
      <c r="K75" s="1943"/>
      <c r="L75" s="1346"/>
      <c r="M75" s="1346"/>
      <c r="N75" s="1346"/>
      <c r="O75" s="1346"/>
      <c r="P75" s="1346"/>
      <c r="Q75" s="1346"/>
      <c r="R75" s="1346"/>
      <c r="S75" s="1346"/>
      <c r="T75" s="1346"/>
      <c r="U75" s="1346"/>
      <c r="V75" s="1346"/>
      <c r="W75" s="1346"/>
      <c r="X75" s="1346"/>
      <c r="Y75" s="1346"/>
      <c r="Z75" s="1346"/>
      <c r="AA75" s="1346"/>
      <c r="AB75" s="1346"/>
      <c r="AC75" s="1346"/>
      <c r="AD75" s="1346"/>
      <c r="AE75" s="1346"/>
      <c r="AF75" s="1346"/>
      <c r="AG75" s="1346"/>
      <c r="AH75" s="1346"/>
      <c r="AI75" s="1346"/>
      <c r="AJ75" s="1346"/>
      <c r="AK75" s="1346"/>
      <c r="AL75" s="1346"/>
      <c r="AM75" s="1346"/>
      <c r="AN75" s="1346"/>
      <c r="AO75" s="1346"/>
      <c r="AP75" s="1346"/>
      <c r="AQ75" s="1346"/>
      <c r="AR75" s="1346"/>
      <c r="AS75" s="1346"/>
      <c r="AT75" s="1346"/>
      <c r="AU75" s="1346"/>
      <c r="AV75" s="1346"/>
      <c r="AW75" s="1346"/>
      <c r="AX75" s="1346"/>
      <c r="AY75" s="1346"/>
      <c r="AZ75" s="1346"/>
      <c r="BA75" s="1346"/>
      <c r="BB75" s="1346"/>
      <c r="BC75" s="1346"/>
      <c r="BD75" s="1346"/>
      <c r="BE75" s="1346"/>
      <c r="BF75" s="1346"/>
      <c r="BG75" s="1346"/>
      <c r="BH75" s="1346"/>
      <c r="BI75" s="1346"/>
      <c r="BJ75" s="1346"/>
      <c r="BK75" s="1346"/>
      <c r="BL75" s="1346"/>
      <c r="BM75" s="1346"/>
      <c r="BN75" s="1346"/>
      <c r="BO75" s="1346"/>
      <c r="BP75" s="1346"/>
      <c r="BQ75" s="1346"/>
      <c r="BR75" s="1346"/>
      <c r="BS75" s="1346"/>
      <c r="BT75" s="1346"/>
      <c r="BU75" s="1346"/>
      <c r="BV75" s="1346"/>
      <c r="BW75" s="1346"/>
      <c r="BX75" s="1346"/>
      <c r="BY75" s="1346"/>
      <c r="BZ75" s="1346"/>
      <c r="CA75" s="1346"/>
      <c r="CB75" s="1346"/>
      <c r="CC75" s="1346"/>
    </row>
    <row r="76" spans="1:81" hidden="1">
      <c r="A76" s="584">
        <f t="shared" si="12"/>
        <v>2</v>
      </c>
      <c r="B76" s="1082" t="str">
        <f t="shared" si="12"/>
        <v>Tax Exempt Bond #2</v>
      </c>
      <c r="C76" s="1943"/>
      <c r="D76" s="1943"/>
      <c r="E76" s="1943"/>
      <c r="F76" s="1943"/>
      <c r="G76" s="1943"/>
      <c r="H76" s="1943"/>
      <c r="I76" s="1943"/>
      <c r="J76" s="1943"/>
      <c r="K76" s="1943"/>
      <c r="L76" s="1346"/>
      <c r="M76" s="1346"/>
      <c r="N76" s="1346"/>
      <c r="O76" s="1346"/>
      <c r="P76" s="1346"/>
      <c r="Q76" s="1346"/>
      <c r="R76" s="1346"/>
      <c r="S76" s="1346"/>
      <c r="T76" s="1346"/>
      <c r="U76" s="1346"/>
      <c r="V76" s="1346"/>
      <c r="W76" s="1346"/>
      <c r="X76" s="1346"/>
      <c r="Y76" s="1346"/>
      <c r="Z76" s="1346"/>
      <c r="AA76" s="1346"/>
      <c r="AB76" s="1346"/>
      <c r="AC76" s="1346"/>
      <c r="AD76" s="1346"/>
      <c r="AE76" s="1346"/>
      <c r="AF76" s="1346"/>
      <c r="AG76" s="1346"/>
      <c r="AH76" s="1346"/>
      <c r="AI76" s="1346"/>
      <c r="AJ76" s="1346"/>
      <c r="AK76" s="1346"/>
      <c r="AL76" s="1346"/>
      <c r="AM76" s="1346"/>
      <c r="AN76" s="1346"/>
      <c r="AO76" s="1346"/>
      <c r="AP76" s="1346"/>
      <c r="AQ76" s="1346"/>
      <c r="AR76" s="1346"/>
      <c r="AS76" s="1346"/>
      <c r="AT76" s="1346"/>
      <c r="AU76" s="1346"/>
      <c r="AV76" s="1346"/>
      <c r="AW76" s="1346"/>
      <c r="AX76" s="1346"/>
      <c r="AY76" s="1346"/>
      <c r="AZ76" s="1346"/>
      <c r="BA76" s="1346"/>
      <c r="BB76" s="1346"/>
      <c r="BC76" s="1346"/>
      <c r="BD76" s="1346"/>
      <c r="BE76" s="1346"/>
      <c r="BF76" s="1346"/>
      <c r="BG76" s="1346"/>
      <c r="BH76" s="1346"/>
      <c r="BI76" s="1346"/>
      <c r="BJ76" s="1346"/>
      <c r="BK76" s="1346"/>
      <c r="BL76" s="1346"/>
      <c r="BM76" s="1346"/>
      <c r="BN76" s="1346"/>
      <c r="BO76" s="1346"/>
      <c r="BP76" s="1346"/>
      <c r="BQ76" s="1346"/>
      <c r="BR76" s="1346"/>
      <c r="BS76" s="1346"/>
      <c r="BT76" s="1346"/>
      <c r="BU76" s="1346"/>
      <c r="BV76" s="1346"/>
      <c r="BW76" s="1346"/>
      <c r="BX76" s="1346"/>
      <c r="BY76" s="1346"/>
      <c r="BZ76" s="1346"/>
      <c r="CA76" s="1346"/>
      <c r="CB76" s="1346"/>
      <c r="CC76" s="1346"/>
    </row>
    <row r="77" spans="1:81" hidden="1">
      <c r="A77" s="584">
        <f t="shared" si="12"/>
        <v>3</v>
      </c>
      <c r="B77" s="1082" t="str">
        <f t="shared" si="12"/>
        <v>Tax Exempt Bond #3</v>
      </c>
      <c r="C77" s="1943"/>
      <c r="D77" s="1943"/>
      <c r="E77" s="1943"/>
      <c r="F77" s="1943"/>
      <c r="G77" s="1943"/>
      <c r="H77" s="1943"/>
      <c r="I77" s="1943"/>
      <c r="J77" s="1943"/>
      <c r="K77" s="1943"/>
      <c r="L77" s="1346"/>
      <c r="M77" s="1346"/>
      <c r="N77" s="1346"/>
      <c r="O77" s="1346"/>
      <c r="P77" s="1346"/>
      <c r="Q77" s="1346"/>
      <c r="R77" s="1346"/>
      <c r="S77" s="1346"/>
      <c r="T77" s="1346"/>
      <c r="U77" s="1346"/>
      <c r="V77" s="1346"/>
      <c r="W77" s="1346"/>
      <c r="X77" s="1346"/>
      <c r="Y77" s="1346"/>
      <c r="Z77" s="1346"/>
      <c r="AA77" s="1346"/>
      <c r="AB77" s="1346"/>
      <c r="AC77" s="1346"/>
      <c r="AD77" s="1346"/>
      <c r="AE77" s="1346"/>
      <c r="AF77" s="1346"/>
      <c r="AG77" s="1346"/>
      <c r="AH77" s="1346"/>
      <c r="AI77" s="1346"/>
      <c r="AJ77" s="1346"/>
      <c r="AK77" s="1346"/>
      <c r="AL77" s="1346"/>
      <c r="AM77" s="1346"/>
      <c r="AN77" s="1346"/>
      <c r="AO77" s="1346"/>
      <c r="AP77" s="1346"/>
      <c r="AQ77" s="1346"/>
      <c r="AR77" s="1346"/>
      <c r="AS77" s="1346"/>
      <c r="AT77" s="1346"/>
      <c r="AU77" s="1346"/>
      <c r="AV77" s="1346"/>
      <c r="AW77" s="1346"/>
      <c r="AX77" s="1346"/>
      <c r="AY77" s="1346"/>
      <c r="AZ77" s="1346"/>
      <c r="BA77" s="1346"/>
      <c r="BB77" s="1346"/>
      <c r="BC77" s="1346"/>
      <c r="BD77" s="1346"/>
      <c r="BE77" s="1346"/>
      <c r="BF77" s="1346"/>
      <c r="BG77" s="1346"/>
      <c r="BH77" s="1346"/>
      <c r="BI77" s="1346"/>
      <c r="BJ77" s="1346"/>
      <c r="BK77" s="1346"/>
      <c r="BL77" s="1346"/>
      <c r="BM77" s="1346"/>
      <c r="BN77" s="1346"/>
      <c r="BO77" s="1346"/>
      <c r="BP77" s="1346"/>
      <c r="BQ77" s="1346"/>
      <c r="BR77" s="1346"/>
      <c r="BS77" s="1346"/>
      <c r="BT77" s="1346"/>
      <c r="BU77" s="1346"/>
      <c r="BV77" s="1346"/>
      <c r="BW77" s="1346"/>
      <c r="BX77" s="1346"/>
      <c r="BY77" s="1346"/>
      <c r="BZ77" s="1346"/>
      <c r="CA77" s="1346"/>
      <c r="CB77" s="1346"/>
      <c r="CC77" s="1346"/>
    </row>
    <row r="78" spans="1:81" hidden="1">
      <c r="A78" s="584">
        <f t="shared" si="12"/>
        <v>3</v>
      </c>
      <c r="B78" s="1082" t="str">
        <f t="shared" si="12"/>
        <v>CDBG</v>
      </c>
      <c r="C78" s="1943"/>
      <c r="D78" s="1943"/>
      <c r="E78" s="1943"/>
      <c r="F78" s="1943"/>
      <c r="G78" s="1943"/>
      <c r="H78" s="1943"/>
      <c r="I78" s="1943"/>
      <c r="J78" s="1943"/>
      <c r="K78" s="1943"/>
      <c r="L78" s="1346"/>
      <c r="M78" s="1346"/>
      <c r="N78" s="1346"/>
      <c r="O78" s="1346"/>
      <c r="P78" s="1346"/>
      <c r="Q78" s="1346"/>
      <c r="R78" s="1346"/>
      <c r="S78" s="1346"/>
      <c r="T78" s="1346"/>
      <c r="U78" s="1346"/>
      <c r="V78" s="1346"/>
      <c r="W78" s="1346"/>
      <c r="X78" s="1346"/>
      <c r="Y78" s="1346"/>
      <c r="Z78" s="1346"/>
      <c r="AA78" s="1346"/>
      <c r="AB78" s="1346"/>
      <c r="AC78" s="1346"/>
      <c r="AD78" s="1346"/>
      <c r="AE78" s="1346"/>
      <c r="AF78" s="1346"/>
      <c r="AG78" s="1346"/>
      <c r="AH78" s="1346"/>
      <c r="AI78" s="1346"/>
      <c r="AJ78" s="1346"/>
      <c r="AK78" s="1346"/>
      <c r="AL78" s="1346"/>
      <c r="AM78" s="1346"/>
      <c r="AN78" s="1346"/>
      <c r="AO78" s="1346"/>
      <c r="AP78" s="1346"/>
      <c r="AQ78" s="1346"/>
      <c r="AR78" s="1346"/>
      <c r="AS78" s="1346"/>
      <c r="AT78" s="1346"/>
      <c r="AU78" s="1346"/>
      <c r="AV78" s="1346"/>
      <c r="AW78" s="1346"/>
      <c r="AX78" s="1346"/>
      <c r="AY78" s="1346"/>
      <c r="AZ78" s="1346"/>
      <c r="BA78" s="1346"/>
      <c r="BB78" s="1346"/>
      <c r="BC78" s="1346"/>
      <c r="BD78" s="1346"/>
      <c r="BE78" s="1346"/>
      <c r="BF78" s="1346"/>
      <c r="BG78" s="1346"/>
      <c r="BH78" s="1346"/>
      <c r="BI78" s="1346"/>
      <c r="BJ78" s="1346"/>
      <c r="BK78" s="1346"/>
      <c r="BL78" s="1346"/>
      <c r="BM78" s="1346"/>
      <c r="BN78" s="1346"/>
      <c r="BO78" s="1346"/>
      <c r="BP78" s="1346"/>
      <c r="BQ78" s="1346"/>
      <c r="BR78" s="1346"/>
      <c r="BS78" s="1346"/>
      <c r="BT78" s="1346"/>
      <c r="BU78" s="1346"/>
      <c r="BV78" s="1346"/>
      <c r="BW78" s="1346"/>
      <c r="BX78" s="1346"/>
      <c r="BY78" s="1346"/>
      <c r="BZ78" s="1346"/>
      <c r="CA78" s="1346"/>
      <c r="CB78" s="1346"/>
      <c r="CC78" s="1346"/>
    </row>
    <row r="79" spans="1:81" hidden="1">
      <c r="A79" s="584">
        <f t="shared" si="12"/>
        <v>3</v>
      </c>
      <c r="B79" s="1082" t="str">
        <f t="shared" si="12"/>
        <v>HOME</v>
      </c>
      <c r="C79" s="1943"/>
      <c r="D79" s="1943"/>
      <c r="E79" s="1943"/>
      <c r="F79" s="1943"/>
      <c r="G79" s="1943"/>
      <c r="H79" s="1943"/>
      <c r="I79" s="1943"/>
      <c r="J79" s="1943"/>
      <c r="K79" s="1943"/>
      <c r="L79" s="1346"/>
      <c r="M79" s="1346"/>
      <c r="N79" s="1346"/>
      <c r="O79" s="1346"/>
      <c r="P79" s="1346"/>
      <c r="Q79" s="1346"/>
      <c r="R79" s="1346"/>
      <c r="S79" s="1346"/>
      <c r="T79" s="1346"/>
      <c r="U79" s="1346"/>
      <c r="V79" s="1346"/>
      <c r="W79" s="1346"/>
      <c r="X79" s="1346"/>
      <c r="Y79" s="1346"/>
      <c r="Z79" s="1346"/>
      <c r="AA79" s="1346"/>
      <c r="AB79" s="1346"/>
      <c r="AC79" s="1346"/>
      <c r="AD79" s="1346"/>
      <c r="AE79" s="1346"/>
      <c r="AF79" s="1346"/>
      <c r="AG79" s="1346"/>
      <c r="AH79" s="1346"/>
      <c r="AI79" s="1346"/>
      <c r="AJ79" s="1346"/>
      <c r="AK79" s="1346"/>
      <c r="AL79" s="1346"/>
      <c r="AM79" s="1346"/>
      <c r="AN79" s="1346"/>
      <c r="AO79" s="1346"/>
      <c r="AP79" s="1346"/>
      <c r="AQ79" s="1346"/>
      <c r="AR79" s="1346"/>
      <c r="AS79" s="1346"/>
      <c r="AT79" s="1346"/>
      <c r="AU79" s="1346"/>
      <c r="AV79" s="1346"/>
      <c r="AW79" s="1346"/>
      <c r="AX79" s="1346"/>
      <c r="AY79" s="1346"/>
      <c r="AZ79" s="1346"/>
      <c r="BA79" s="1346"/>
      <c r="BB79" s="1346"/>
      <c r="BC79" s="1346"/>
      <c r="BD79" s="1346"/>
      <c r="BE79" s="1346"/>
      <c r="BF79" s="1346"/>
      <c r="BG79" s="1346"/>
      <c r="BH79" s="1346"/>
      <c r="BI79" s="1346"/>
      <c r="BJ79" s="1346"/>
      <c r="BK79" s="1346"/>
      <c r="BL79" s="1346"/>
      <c r="BM79" s="1346"/>
      <c r="BN79" s="1346"/>
      <c r="BO79" s="1346"/>
      <c r="BP79" s="1346"/>
      <c r="BQ79" s="1346"/>
      <c r="BR79" s="1346"/>
      <c r="BS79" s="1346"/>
      <c r="BT79" s="1346"/>
      <c r="BU79" s="1346"/>
      <c r="BV79" s="1346"/>
      <c r="BW79" s="1346"/>
      <c r="BX79" s="1346"/>
      <c r="BY79" s="1346"/>
      <c r="BZ79" s="1346"/>
      <c r="CA79" s="1346"/>
      <c r="CB79" s="1346"/>
      <c r="CC79" s="1346"/>
    </row>
    <row r="80" spans="1:81" hidden="1">
      <c r="A80" s="584">
        <f t="shared" si="12"/>
        <v>4</v>
      </c>
      <c r="B80" s="1082" t="str">
        <f t="shared" si="12"/>
        <v>MAUI</v>
      </c>
      <c r="C80" s="1943"/>
      <c r="D80" s="1943"/>
      <c r="E80" s="1943"/>
      <c r="F80" s="1943"/>
      <c r="G80" s="1943"/>
      <c r="H80" s="1943"/>
      <c r="I80" s="1943"/>
      <c r="J80" s="1943"/>
      <c r="K80" s="1943"/>
      <c r="L80" s="1346"/>
      <c r="M80" s="1346"/>
      <c r="N80" s="1346"/>
      <c r="O80" s="1346"/>
      <c r="P80" s="1346"/>
      <c r="Q80" s="1346"/>
      <c r="R80" s="1346"/>
      <c r="S80" s="1346"/>
      <c r="T80" s="1346"/>
      <c r="U80" s="1346"/>
      <c r="V80" s="1346"/>
      <c r="W80" s="1346"/>
      <c r="X80" s="1346"/>
      <c r="Y80" s="1346"/>
      <c r="Z80" s="1346"/>
      <c r="AA80" s="1346"/>
      <c r="AB80" s="1346"/>
      <c r="AC80" s="1346"/>
      <c r="AD80" s="1346"/>
      <c r="AE80" s="1346"/>
      <c r="AF80" s="1346"/>
      <c r="AG80" s="1346"/>
      <c r="AH80" s="1346"/>
      <c r="AI80" s="1346"/>
      <c r="AJ80" s="1346"/>
      <c r="AK80" s="1346"/>
      <c r="AL80" s="1346"/>
      <c r="AM80" s="1346"/>
      <c r="AN80" s="1346"/>
      <c r="AO80" s="1346"/>
      <c r="AP80" s="1346"/>
      <c r="AQ80" s="1346"/>
      <c r="AR80" s="1346"/>
      <c r="AS80" s="1346"/>
      <c r="AT80" s="1346"/>
      <c r="AU80" s="1346"/>
      <c r="AV80" s="1346"/>
      <c r="AW80" s="1346"/>
      <c r="AX80" s="1346"/>
      <c r="AY80" s="1346"/>
      <c r="AZ80" s="1346"/>
      <c r="BA80" s="1346"/>
      <c r="BB80" s="1346"/>
      <c r="BC80" s="1346"/>
      <c r="BD80" s="1346"/>
      <c r="BE80" s="1346"/>
      <c r="BF80" s="1346"/>
      <c r="BG80" s="1346"/>
      <c r="BH80" s="1346"/>
      <c r="BI80" s="1346"/>
      <c r="BJ80" s="1346"/>
      <c r="BK80" s="1346"/>
      <c r="BL80" s="1346"/>
      <c r="BM80" s="1346"/>
      <c r="BN80" s="1346"/>
      <c r="BO80" s="1346"/>
      <c r="BP80" s="1346"/>
      <c r="BQ80" s="1346"/>
      <c r="BR80" s="1346"/>
      <c r="BS80" s="1346"/>
      <c r="BT80" s="1346"/>
      <c r="BU80" s="1346"/>
      <c r="BV80" s="1346"/>
      <c r="BW80" s="1346"/>
      <c r="BX80" s="1346"/>
      <c r="BY80" s="1346"/>
      <c r="BZ80" s="1346"/>
      <c r="CA80" s="1346"/>
      <c r="CB80" s="1346"/>
      <c r="CC80" s="1346"/>
    </row>
    <row r="81" spans="1:81" hidden="1">
      <c r="A81" s="584">
        <f t="shared" si="12"/>
        <v>5</v>
      </c>
      <c r="B81" s="1082" t="str">
        <f t="shared" si="12"/>
        <v>CHA Loan</v>
      </c>
      <c r="C81" s="1943" t="s">
        <v>180</v>
      </c>
      <c r="D81" s="1943"/>
      <c r="E81" s="1943"/>
      <c r="F81" s="1943"/>
      <c r="G81" s="1943"/>
      <c r="H81" s="1943"/>
      <c r="I81" s="1943"/>
      <c r="J81" s="1943"/>
      <c r="K81" s="1943"/>
      <c r="L81" s="1346"/>
      <c r="M81" s="1346"/>
      <c r="N81" s="1346"/>
      <c r="O81" s="1346"/>
      <c r="P81" s="1346"/>
      <c r="Q81" s="1346"/>
      <c r="R81" s="1346"/>
      <c r="S81" s="1346"/>
      <c r="T81" s="1346"/>
      <c r="U81" s="1346"/>
      <c r="V81" s="1346"/>
      <c r="W81" s="1346"/>
      <c r="X81" s="1346"/>
      <c r="Y81" s="1346"/>
      <c r="Z81" s="1346"/>
      <c r="AA81" s="1346"/>
      <c r="AB81" s="1346"/>
      <c r="AC81" s="1346"/>
      <c r="AD81" s="1346"/>
      <c r="AE81" s="1346"/>
      <c r="AF81" s="1346"/>
      <c r="AG81" s="1346"/>
      <c r="AH81" s="1346"/>
      <c r="AI81" s="1346"/>
      <c r="AJ81" s="1346"/>
      <c r="AK81" s="1346"/>
      <c r="AL81" s="1346"/>
      <c r="AM81" s="1346"/>
      <c r="AN81" s="1346"/>
      <c r="AO81" s="1346"/>
      <c r="AP81" s="1346"/>
      <c r="AQ81" s="1346"/>
      <c r="AR81" s="1346"/>
      <c r="AS81" s="1346"/>
      <c r="AT81" s="1346"/>
      <c r="AU81" s="1346"/>
      <c r="AV81" s="1346"/>
      <c r="AW81" s="1346"/>
      <c r="AX81" s="1346"/>
      <c r="AY81" s="1346"/>
      <c r="AZ81" s="1346"/>
      <c r="BA81" s="1346"/>
      <c r="BB81" s="1346"/>
      <c r="BC81" s="1346"/>
      <c r="BD81" s="1346"/>
      <c r="BE81" s="1346"/>
      <c r="BF81" s="1346"/>
      <c r="BG81" s="1346"/>
      <c r="BH81" s="1346"/>
      <c r="BI81" s="1346"/>
      <c r="BJ81" s="1346"/>
      <c r="BK81" s="1346"/>
      <c r="BL81" s="1346"/>
      <c r="BM81" s="1346"/>
      <c r="BN81" s="1346"/>
      <c r="BO81" s="1346"/>
      <c r="BP81" s="1346"/>
      <c r="BQ81" s="1346"/>
      <c r="BR81" s="1346"/>
      <c r="BS81" s="1346"/>
      <c r="BT81" s="1346"/>
      <c r="BU81" s="1346"/>
      <c r="BV81" s="1346"/>
      <c r="BW81" s="1346"/>
      <c r="BX81" s="1346"/>
      <c r="BY81" s="1346"/>
      <c r="BZ81" s="1346"/>
      <c r="CA81" s="1346"/>
      <c r="CB81" s="1346"/>
      <c r="CC81" s="1346"/>
    </row>
    <row r="82" spans="1:81" hidden="1">
      <c r="A82" s="584">
        <f t="shared" si="12"/>
        <v>5</v>
      </c>
      <c r="B82" s="1082" t="str">
        <f t="shared" si="12"/>
        <v>IHDA Loan</v>
      </c>
      <c r="C82" s="1943"/>
      <c r="D82" s="1943"/>
      <c r="E82" s="1943"/>
      <c r="F82" s="1943"/>
      <c r="G82" s="1943"/>
      <c r="H82" s="1943"/>
      <c r="I82" s="1943"/>
      <c r="J82" s="1943"/>
      <c r="K82" s="1943"/>
      <c r="L82" s="1346"/>
      <c r="M82" s="1346"/>
      <c r="N82" s="1346"/>
      <c r="O82" s="1346"/>
      <c r="P82" s="1346"/>
      <c r="Q82" s="1346"/>
      <c r="R82" s="1346"/>
      <c r="S82" s="1346"/>
      <c r="T82" s="1346"/>
      <c r="U82" s="1346"/>
      <c r="V82" s="1346"/>
      <c r="W82" s="1346"/>
      <c r="X82" s="1346"/>
      <c r="Y82" s="1346"/>
      <c r="Z82" s="1346"/>
      <c r="AA82" s="1346"/>
      <c r="AB82" s="1346"/>
      <c r="AC82" s="1346"/>
      <c r="AD82" s="1346"/>
      <c r="AE82" s="1346"/>
      <c r="AF82" s="1346"/>
      <c r="AG82" s="1346"/>
      <c r="AH82" s="1346"/>
      <c r="AI82" s="1346"/>
      <c r="AJ82" s="1346"/>
      <c r="AK82" s="1346"/>
      <c r="AL82" s="1346"/>
      <c r="AM82" s="1346"/>
      <c r="AN82" s="1346"/>
      <c r="AO82" s="1346"/>
      <c r="AP82" s="1346"/>
      <c r="AQ82" s="1346"/>
      <c r="AR82" s="1346"/>
      <c r="AS82" s="1346"/>
      <c r="AT82" s="1346"/>
      <c r="AU82" s="1346"/>
      <c r="AV82" s="1346"/>
      <c r="AW82" s="1346"/>
      <c r="AX82" s="1346"/>
      <c r="AY82" s="1346"/>
      <c r="AZ82" s="1346"/>
      <c r="BA82" s="1346"/>
      <c r="BB82" s="1346"/>
      <c r="BC82" s="1346"/>
      <c r="BD82" s="1346"/>
      <c r="BE82" s="1346"/>
      <c r="BF82" s="1346"/>
      <c r="BG82" s="1346"/>
      <c r="BH82" s="1346"/>
      <c r="BI82" s="1346"/>
      <c r="BJ82" s="1346"/>
      <c r="BK82" s="1346"/>
      <c r="BL82" s="1346"/>
      <c r="BM82" s="1346"/>
      <c r="BN82" s="1346"/>
      <c r="BO82" s="1346"/>
      <c r="BP82" s="1346"/>
      <c r="BQ82" s="1346"/>
      <c r="BR82" s="1346"/>
      <c r="BS82" s="1346"/>
      <c r="BT82" s="1346"/>
      <c r="BU82" s="1346"/>
      <c r="BV82" s="1346"/>
      <c r="BW82" s="1346"/>
      <c r="BX82" s="1346"/>
      <c r="BY82" s="1346"/>
      <c r="BZ82" s="1346"/>
      <c r="CA82" s="1346"/>
      <c r="CB82" s="1346"/>
      <c r="CC82" s="1346"/>
    </row>
    <row r="83" spans="1:81" hidden="1">
      <c r="A83" s="584">
        <f t="shared" si="12"/>
        <v>5</v>
      </c>
      <c r="B83" s="1082" t="str">
        <f t="shared" si="12"/>
        <v>Illinois Donations</v>
      </c>
      <c r="C83" s="1943"/>
      <c r="D83" s="1943"/>
      <c r="E83" s="1943"/>
      <c r="F83" s="1943"/>
      <c r="G83" s="1943"/>
      <c r="H83" s="1943"/>
      <c r="I83" s="1943"/>
      <c r="J83" s="1943"/>
      <c r="K83" s="1943"/>
      <c r="L83" s="1346"/>
      <c r="M83" s="1346"/>
      <c r="N83" s="1346"/>
      <c r="O83" s="1346"/>
      <c r="P83" s="1346"/>
      <c r="Q83" s="1346"/>
      <c r="R83" s="1346"/>
      <c r="S83" s="1346"/>
      <c r="T83" s="1346"/>
      <c r="U83" s="1346"/>
      <c r="V83" s="1346"/>
      <c r="W83" s="1346"/>
      <c r="X83" s="1346"/>
      <c r="Y83" s="1346"/>
      <c r="Z83" s="1346"/>
      <c r="AA83" s="1346"/>
      <c r="AB83" s="1346"/>
      <c r="AC83" s="1346"/>
      <c r="AD83" s="1346"/>
      <c r="AE83" s="1346"/>
      <c r="AF83" s="1346"/>
      <c r="AG83" s="1346"/>
      <c r="AH83" s="1346"/>
      <c r="AI83" s="1346"/>
      <c r="AJ83" s="1346"/>
      <c r="AK83" s="1346"/>
      <c r="AL83" s="1346"/>
      <c r="AM83" s="1346"/>
      <c r="AN83" s="1346"/>
      <c r="AO83" s="1346"/>
      <c r="AP83" s="1346"/>
      <c r="AQ83" s="1346"/>
      <c r="AR83" s="1346"/>
      <c r="AS83" s="1346"/>
      <c r="AT83" s="1346"/>
      <c r="AU83" s="1346"/>
      <c r="AV83" s="1346"/>
      <c r="AW83" s="1346"/>
      <c r="AX83" s="1346"/>
      <c r="AY83" s="1346"/>
      <c r="AZ83" s="1346"/>
      <c r="BA83" s="1346"/>
      <c r="BB83" s="1346"/>
      <c r="BC83" s="1346"/>
      <c r="BD83" s="1346"/>
      <c r="BE83" s="1346"/>
      <c r="BF83" s="1346"/>
      <c r="BG83" s="1346"/>
      <c r="BH83" s="1346"/>
      <c r="BI83" s="1346"/>
      <c r="BJ83" s="1346"/>
      <c r="BK83" s="1346"/>
      <c r="BL83" s="1346"/>
      <c r="BM83" s="1346"/>
      <c r="BN83" s="1346"/>
      <c r="BO83" s="1346"/>
      <c r="BP83" s="1346"/>
      <c r="BQ83" s="1346"/>
      <c r="BR83" s="1346"/>
      <c r="BS83" s="1346"/>
      <c r="BT83" s="1346"/>
      <c r="BU83" s="1346"/>
      <c r="BV83" s="1346"/>
      <c r="BW83" s="1346"/>
      <c r="BX83" s="1346"/>
      <c r="BY83" s="1346"/>
      <c r="BZ83" s="1346"/>
      <c r="CA83" s="1346"/>
      <c r="CB83" s="1346"/>
      <c r="CC83" s="1346"/>
    </row>
    <row r="84" spans="1:81" hidden="1">
      <c r="A84" s="584">
        <f t="shared" si="12"/>
        <v>5</v>
      </c>
      <c r="B84" s="1082" t="str">
        <f t="shared" si="12"/>
        <v>TIF Loan/ Grant</v>
      </c>
      <c r="C84" s="1943"/>
      <c r="D84" s="1943"/>
      <c r="E84" s="1943"/>
      <c r="F84" s="1943"/>
      <c r="G84" s="1943"/>
      <c r="H84" s="1943"/>
      <c r="I84" s="1943"/>
      <c r="J84" s="1943"/>
      <c r="K84" s="1943"/>
      <c r="L84" s="1346"/>
      <c r="M84" s="1346"/>
      <c r="N84" s="1346"/>
      <c r="O84" s="1346"/>
      <c r="P84" s="1346"/>
      <c r="Q84" s="1346"/>
      <c r="R84" s="1346"/>
      <c r="S84" s="1346"/>
      <c r="T84" s="1346"/>
      <c r="U84" s="1346"/>
      <c r="V84" s="1346"/>
      <c r="W84" s="1346"/>
      <c r="X84" s="1346"/>
      <c r="Y84" s="1346"/>
      <c r="Z84" s="1346"/>
      <c r="AA84" s="1346"/>
      <c r="AB84" s="1346"/>
      <c r="AC84" s="1346"/>
      <c r="AD84" s="1346"/>
      <c r="AE84" s="1346"/>
      <c r="AF84" s="1346"/>
      <c r="AG84" s="1346"/>
      <c r="AH84" s="1346"/>
      <c r="AI84" s="1346"/>
      <c r="AJ84" s="1346"/>
      <c r="AK84" s="1346"/>
      <c r="AL84" s="1346"/>
      <c r="AM84" s="1346"/>
      <c r="AN84" s="1346"/>
      <c r="AO84" s="1346"/>
      <c r="AP84" s="1346"/>
      <c r="AQ84" s="1346"/>
      <c r="AR84" s="1346"/>
      <c r="AS84" s="1346"/>
      <c r="AT84" s="1346"/>
      <c r="AU84" s="1346"/>
      <c r="AV84" s="1346"/>
      <c r="AW84" s="1346"/>
      <c r="AX84" s="1346"/>
      <c r="AY84" s="1346"/>
      <c r="AZ84" s="1346"/>
      <c r="BA84" s="1346"/>
      <c r="BB84" s="1346"/>
      <c r="BC84" s="1346"/>
      <c r="BD84" s="1346"/>
      <c r="BE84" s="1346"/>
      <c r="BF84" s="1346"/>
      <c r="BG84" s="1346"/>
      <c r="BH84" s="1346"/>
      <c r="BI84" s="1346"/>
      <c r="BJ84" s="1346"/>
      <c r="BK84" s="1346"/>
      <c r="BL84" s="1346"/>
      <c r="BM84" s="1346"/>
      <c r="BN84" s="1346"/>
      <c r="BO84" s="1346"/>
      <c r="BP84" s="1346"/>
      <c r="BQ84" s="1346"/>
      <c r="BR84" s="1346"/>
      <c r="BS84" s="1346"/>
      <c r="BT84" s="1346"/>
      <c r="BU84" s="1346"/>
      <c r="BV84" s="1346"/>
      <c r="BW84" s="1346"/>
      <c r="BX84" s="1346"/>
      <c r="BY84" s="1346"/>
      <c r="BZ84" s="1346"/>
      <c r="CA84" s="1346"/>
      <c r="CB84" s="1346"/>
      <c r="CC84" s="1346"/>
    </row>
    <row r="85" spans="1:81" hidden="1">
      <c r="A85" s="584">
        <f t="shared" si="12"/>
        <v>5</v>
      </c>
      <c r="B85" s="1082" t="str">
        <f t="shared" si="12"/>
        <v>FHLB AHP</v>
      </c>
      <c r="C85" s="1943"/>
      <c r="D85" s="1943"/>
      <c r="E85" s="1943"/>
      <c r="F85" s="1943"/>
      <c r="G85" s="1943"/>
      <c r="H85" s="1943"/>
      <c r="I85" s="1943"/>
      <c r="J85" s="1943"/>
      <c r="K85" s="1943"/>
      <c r="L85" s="1346"/>
      <c r="M85" s="1346"/>
      <c r="N85" s="1346"/>
      <c r="O85" s="1346"/>
      <c r="P85" s="1346"/>
      <c r="Q85" s="1346"/>
      <c r="R85" s="1346"/>
      <c r="S85" s="1346"/>
      <c r="T85" s="1346"/>
      <c r="U85" s="1346"/>
      <c r="V85" s="1346"/>
      <c r="W85" s="1346"/>
      <c r="X85" s="1346"/>
      <c r="Y85" s="1346"/>
      <c r="Z85" s="1346"/>
      <c r="AA85" s="1346"/>
      <c r="AB85" s="1346"/>
      <c r="AC85" s="1346"/>
      <c r="AD85" s="1346"/>
      <c r="AE85" s="1346"/>
      <c r="AF85" s="1346"/>
      <c r="AG85" s="1346"/>
      <c r="AH85" s="1346"/>
      <c r="AI85" s="1346"/>
      <c r="AJ85" s="1346"/>
      <c r="AK85" s="1346"/>
      <c r="AL85" s="1346"/>
      <c r="AM85" s="1346"/>
      <c r="AN85" s="1346"/>
      <c r="AO85" s="1346"/>
      <c r="AP85" s="1346"/>
      <c r="AQ85" s="1346"/>
      <c r="AR85" s="1346"/>
      <c r="AS85" s="1346"/>
      <c r="AT85" s="1346"/>
      <c r="AU85" s="1346"/>
      <c r="AV85" s="1346"/>
      <c r="AW85" s="1346"/>
      <c r="AX85" s="1346"/>
      <c r="AY85" s="1346"/>
      <c r="AZ85" s="1346"/>
      <c r="BA85" s="1346"/>
      <c r="BB85" s="1346"/>
      <c r="BC85" s="1346"/>
      <c r="BD85" s="1346"/>
      <c r="BE85" s="1346"/>
      <c r="BF85" s="1346"/>
      <c r="BG85" s="1346"/>
      <c r="BH85" s="1346"/>
      <c r="BI85" s="1346"/>
      <c r="BJ85" s="1346"/>
      <c r="BK85" s="1346"/>
      <c r="BL85" s="1346"/>
      <c r="BM85" s="1346"/>
      <c r="BN85" s="1346"/>
      <c r="BO85" s="1346"/>
      <c r="BP85" s="1346"/>
      <c r="BQ85" s="1346"/>
      <c r="BR85" s="1346"/>
      <c r="BS85" s="1346"/>
      <c r="BT85" s="1346"/>
      <c r="BU85" s="1346"/>
      <c r="BV85" s="1346"/>
      <c r="BW85" s="1346"/>
      <c r="BX85" s="1346"/>
      <c r="BY85" s="1346"/>
      <c r="BZ85" s="1346"/>
      <c r="CA85" s="1346"/>
      <c r="CB85" s="1346"/>
      <c r="CC85" s="1346"/>
    </row>
    <row r="86" spans="1:81" hidden="1">
      <c r="A86" s="584">
        <f t="shared" si="12"/>
        <v>6</v>
      </c>
      <c r="B86" s="1082" t="str">
        <f t="shared" si="12"/>
        <v>Grant #1</v>
      </c>
      <c r="C86" s="1943"/>
      <c r="D86" s="1943"/>
      <c r="E86" s="1943"/>
      <c r="F86" s="1943"/>
      <c r="G86" s="1943"/>
      <c r="H86" s="1943"/>
      <c r="I86" s="1943"/>
      <c r="J86" s="1943"/>
      <c r="K86" s="1943"/>
      <c r="L86" s="1346"/>
      <c r="M86" s="1346"/>
      <c r="N86" s="1346"/>
      <c r="O86" s="1346"/>
      <c r="P86" s="1346"/>
      <c r="Q86" s="1346"/>
      <c r="R86" s="1346"/>
      <c r="S86" s="1346"/>
      <c r="T86" s="1346"/>
      <c r="U86" s="1346"/>
      <c r="V86" s="1346"/>
      <c r="W86" s="1346"/>
      <c r="X86" s="1346"/>
      <c r="Y86" s="1346"/>
      <c r="Z86" s="1346"/>
      <c r="AA86" s="1346"/>
      <c r="AB86" s="1346"/>
      <c r="AC86" s="1346"/>
      <c r="AD86" s="1346"/>
      <c r="AE86" s="1346"/>
      <c r="AF86" s="1346"/>
      <c r="AG86" s="1346"/>
      <c r="AH86" s="1346"/>
      <c r="AI86" s="1346"/>
      <c r="AJ86" s="1346"/>
      <c r="AK86" s="1346"/>
      <c r="AL86" s="1346"/>
      <c r="AM86" s="1346"/>
      <c r="AN86" s="1346"/>
      <c r="AO86" s="1346"/>
      <c r="AP86" s="1346"/>
      <c r="AQ86" s="1346"/>
      <c r="AR86" s="1346"/>
      <c r="AS86" s="1346"/>
      <c r="AT86" s="1346"/>
      <c r="AU86" s="1346"/>
      <c r="AV86" s="1346"/>
      <c r="AW86" s="1346"/>
      <c r="AX86" s="1346"/>
      <c r="AY86" s="1346"/>
      <c r="AZ86" s="1346"/>
      <c r="BA86" s="1346"/>
      <c r="BB86" s="1346"/>
      <c r="BC86" s="1346"/>
      <c r="BD86" s="1346"/>
      <c r="BE86" s="1346"/>
      <c r="BF86" s="1346"/>
      <c r="BG86" s="1346"/>
      <c r="BH86" s="1346"/>
      <c r="BI86" s="1346"/>
      <c r="BJ86" s="1346"/>
      <c r="BK86" s="1346"/>
      <c r="BL86" s="1346"/>
      <c r="BM86" s="1346"/>
      <c r="BN86" s="1346"/>
      <c r="BO86" s="1346"/>
      <c r="BP86" s="1346"/>
      <c r="BQ86" s="1346"/>
      <c r="BR86" s="1346"/>
      <c r="BS86" s="1346"/>
      <c r="BT86" s="1346"/>
      <c r="BU86" s="1346"/>
      <c r="BV86" s="1346"/>
      <c r="BW86" s="1346"/>
      <c r="BX86" s="1346"/>
      <c r="BY86" s="1346"/>
      <c r="BZ86" s="1346"/>
      <c r="CA86" s="1346"/>
      <c r="CB86" s="1346"/>
      <c r="CC86" s="1346"/>
    </row>
    <row r="87" spans="1:81" hidden="1">
      <c r="A87" s="584">
        <f t="shared" si="12"/>
        <v>6</v>
      </c>
      <c r="B87" s="1082" t="str">
        <f t="shared" si="12"/>
        <v>Grant #2</v>
      </c>
      <c r="C87" s="1943"/>
      <c r="D87" s="1943"/>
      <c r="E87" s="1943"/>
      <c r="F87" s="1943"/>
      <c r="G87" s="1943"/>
      <c r="H87" s="1943"/>
      <c r="I87" s="1943"/>
      <c r="J87" s="1943"/>
      <c r="K87" s="1943"/>
      <c r="L87" s="1346"/>
      <c r="M87" s="1346"/>
      <c r="N87" s="1346"/>
      <c r="O87" s="1346"/>
      <c r="P87" s="1346"/>
      <c r="Q87" s="1346"/>
      <c r="R87" s="1346"/>
      <c r="S87" s="1346"/>
      <c r="T87" s="1346"/>
      <c r="U87" s="1346"/>
      <c r="V87" s="1346"/>
      <c r="W87" s="1346"/>
      <c r="X87" s="1346"/>
      <c r="Y87" s="1346"/>
      <c r="Z87" s="1346"/>
      <c r="AA87" s="1346"/>
      <c r="AB87" s="1346"/>
      <c r="AC87" s="1346"/>
      <c r="AD87" s="1346"/>
      <c r="AE87" s="1346"/>
      <c r="AF87" s="1346"/>
      <c r="AG87" s="1346"/>
      <c r="AH87" s="1346"/>
      <c r="AI87" s="1346"/>
      <c r="AJ87" s="1346"/>
      <c r="AK87" s="1346"/>
      <c r="AL87" s="1346"/>
      <c r="AM87" s="1346"/>
      <c r="AN87" s="1346"/>
      <c r="AO87" s="1346"/>
      <c r="AP87" s="1346"/>
      <c r="AQ87" s="1346"/>
      <c r="AR87" s="1346"/>
      <c r="AS87" s="1346"/>
      <c r="AT87" s="1346"/>
      <c r="AU87" s="1346"/>
      <c r="AV87" s="1346"/>
      <c r="AW87" s="1346"/>
      <c r="AX87" s="1346"/>
      <c r="AY87" s="1346"/>
      <c r="AZ87" s="1346"/>
      <c r="BA87" s="1346"/>
      <c r="BB87" s="1346"/>
      <c r="BC87" s="1346"/>
      <c r="BD87" s="1346"/>
      <c r="BE87" s="1346"/>
      <c r="BF87" s="1346"/>
      <c r="BG87" s="1346"/>
      <c r="BH87" s="1346"/>
      <c r="BI87" s="1346"/>
      <c r="BJ87" s="1346"/>
      <c r="BK87" s="1346"/>
      <c r="BL87" s="1346"/>
      <c r="BM87" s="1346"/>
      <c r="BN87" s="1346"/>
      <c r="BO87" s="1346"/>
      <c r="BP87" s="1346"/>
      <c r="BQ87" s="1346"/>
      <c r="BR87" s="1346"/>
      <c r="BS87" s="1346"/>
      <c r="BT87" s="1346"/>
      <c r="BU87" s="1346"/>
      <c r="BV87" s="1346"/>
      <c r="BW87" s="1346"/>
      <c r="BX87" s="1346"/>
      <c r="BY87" s="1346"/>
      <c r="BZ87" s="1346"/>
      <c r="CA87" s="1346"/>
      <c r="CB87" s="1346"/>
      <c r="CC87" s="1346"/>
    </row>
    <row r="88" spans="1:81" hidden="1">
      <c r="A88" s="584">
        <f t="shared" si="12"/>
        <v>6</v>
      </c>
      <c r="B88" s="1082" t="str">
        <f t="shared" si="12"/>
        <v>Grant #3</v>
      </c>
      <c r="C88" s="1943"/>
      <c r="D88" s="1943"/>
      <c r="E88" s="1943"/>
      <c r="F88" s="1943"/>
      <c r="G88" s="1943"/>
      <c r="H88" s="1943"/>
      <c r="I88" s="1943"/>
      <c r="J88" s="1943"/>
      <c r="K88" s="1943"/>
      <c r="L88" s="1346"/>
      <c r="M88" s="1346"/>
      <c r="N88" s="1346"/>
      <c r="O88" s="1346"/>
      <c r="P88" s="1346"/>
      <c r="Q88" s="1346"/>
      <c r="R88" s="1346"/>
      <c r="S88" s="1346"/>
      <c r="T88" s="1346"/>
      <c r="U88" s="1346"/>
      <c r="V88" s="1346"/>
      <c r="W88" s="1346"/>
      <c r="X88" s="1346"/>
      <c r="Y88" s="1346"/>
      <c r="Z88" s="1346"/>
      <c r="AA88" s="1346"/>
      <c r="AB88" s="1346"/>
      <c r="AC88" s="1346"/>
      <c r="AD88" s="1346"/>
      <c r="AE88" s="1346"/>
      <c r="AF88" s="1346"/>
      <c r="AG88" s="1346"/>
      <c r="AH88" s="1346"/>
      <c r="AI88" s="1346"/>
      <c r="AJ88" s="1346"/>
      <c r="AK88" s="1346"/>
      <c r="AL88" s="1346"/>
      <c r="AM88" s="1346"/>
      <c r="AN88" s="1346"/>
      <c r="AO88" s="1346"/>
      <c r="AP88" s="1346"/>
      <c r="AQ88" s="1346"/>
      <c r="AR88" s="1346"/>
      <c r="AS88" s="1346"/>
      <c r="AT88" s="1346"/>
      <c r="AU88" s="1346"/>
      <c r="AV88" s="1346"/>
      <c r="AW88" s="1346"/>
      <c r="AX88" s="1346"/>
      <c r="AY88" s="1346"/>
      <c r="AZ88" s="1346"/>
      <c r="BA88" s="1346"/>
      <c r="BB88" s="1346"/>
      <c r="BC88" s="1346"/>
      <c r="BD88" s="1346"/>
      <c r="BE88" s="1346"/>
      <c r="BF88" s="1346"/>
      <c r="BG88" s="1346"/>
      <c r="BH88" s="1346"/>
      <c r="BI88" s="1346"/>
      <c r="BJ88" s="1346"/>
      <c r="BK88" s="1346"/>
      <c r="BL88" s="1346"/>
      <c r="BM88" s="1346"/>
      <c r="BN88" s="1346"/>
      <c r="BO88" s="1346"/>
      <c r="BP88" s="1346"/>
      <c r="BQ88" s="1346"/>
      <c r="BR88" s="1346"/>
      <c r="BS88" s="1346"/>
      <c r="BT88" s="1346"/>
      <c r="BU88" s="1346"/>
      <c r="BV88" s="1346"/>
      <c r="BW88" s="1346"/>
      <c r="BX88" s="1346"/>
      <c r="BY88" s="1346"/>
      <c r="BZ88" s="1346"/>
      <c r="CA88" s="1346"/>
      <c r="CB88" s="1346"/>
      <c r="CC88" s="1346"/>
    </row>
    <row r="89" spans="1:81" hidden="1">
      <c r="A89" s="584">
        <f t="shared" ref="A89:B92" si="13">A66</f>
        <v>6</v>
      </c>
      <c r="B89" s="1082" t="str">
        <f t="shared" si="13"/>
        <v>Grant #4</v>
      </c>
      <c r="C89" s="1943"/>
      <c r="D89" s="1943"/>
      <c r="E89" s="1943"/>
      <c r="F89" s="1943"/>
      <c r="G89" s="1943"/>
      <c r="H89" s="1943"/>
      <c r="I89" s="1943"/>
      <c r="J89" s="1943"/>
      <c r="K89" s="1943"/>
      <c r="L89" s="1346"/>
      <c r="M89" s="1346"/>
      <c r="N89" s="1346"/>
      <c r="O89" s="1346"/>
      <c r="P89" s="1346"/>
      <c r="Q89" s="1346"/>
      <c r="R89" s="1346"/>
      <c r="S89" s="1346"/>
      <c r="T89" s="1346"/>
      <c r="U89" s="1346"/>
      <c r="V89" s="1346"/>
      <c r="W89" s="1346"/>
      <c r="X89" s="1346"/>
      <c r="Y89" s="1346"/>
      <c r="Z89" s="1346"/>
      <c r="AA89" s="1346"/>
      <c r="AB89" s="1346"/>
      <c r="AC89" s="1346"/>
      <c r="AD89" s="1346"/>
      <c r="AE89" s="1346"/>
      <c r="AF89" s="1346"/>
      <c r="AG89" s="1346"/>
      <c r="AH89" s="1346"/>
      <c r="AI89" s="1346"/>
      <c r="AJ89" s="1346"/>
      <c r="AK89" s="1346"/>
      <c r="AL89" s="1346"/>
      <c r="AM89" s="1346"/>
      <c r="AN89" s="1346"/>
      <c r="AO89" s="1346"/>
      <c r="AP89" s="1346"/>
      <c r="AQ89" s="1346"/>
      <c r="AR89" s="1346"/>
      <c r="AS89" s="1346"/>
      <c r="AT89" s="1346"/>
      <c r="AU89" s="1346"/>
      <c r="AV89" s="1346"/>
      <c r="AW89" s="1346"/>
      <c r="AX89" s="1346"/>
      <c r="AY89" s="1346"/>
      <c r="AZ89" s="1346"/>
      <c r="BA89" s="1346"/>
      <c r="BB89" s="1346"/>
      <c r="BC89" s="1346"/>
      <c r="BD89" s="1346"/>
      <c r="BE89" s="1346"/>
      <c r="BF89" s="1346"/>
      <c r="BG89" s="1346"/>
      <c r="BH89" s="1346"/>
      <c r="BI89" s="1346"/>
      <c r="BJ89" s="1346"/>
      <c r="BK89" s="1346"/>
      <c r="BL89" s="1346"/>
      <c r="BM89" s="1346"/>
      <c r="BN89" s="1346"/>
      <c r="BO89" s="1346"/>
      <c r="BP89" s="1346"/>
      <c r="BQ89" s="1346"/>
      <c r="BR89" s="1346"/>
      <c r="BS89" s="1346"/>
      <c r="BT89" s="1346"/>
      <c r="BU89" s="1346"/>
      <c r="BV89" s="1346"/>
      <c r="BW89" s="1346"/>
      <c r="BX89" s="1346"/>
      <c r="BY89" s="1346"/>
      <c r="BZ89" s="1346"/>
      <c r="CA89" s="1346"/>
      <c r="CB89" s="1346"/>
      <c r="CC89" s="1346"/>
    </row>
    <row r="90" spans="1:81" hidden="1">
      <c r="A90" s="584">
        <f t="shared" si="13"/>
        <v>6</v>
      </c>
      <c r="B90" s="1082" t="str">
        <f t="shared" si="13"/>
        <v>Deferred Developer Fee</v>
      </c>
      <c r="C90" s="1943"/>
      <c r="D90" s="1943"/>
      <c r="E90" s="1943"/>
      <c r="F90" s="1943"/>
      <c r="G90" s="1943"/>
      <c r="H90" s="1943"/>
      <c r="I90" s="1943"/>
      <c r="J90" s="1943"/>
      <c r="K90" s="1943"/>
      <c r="L90" s="1346"/>
      <c r="M90" s="1346"/>
      <c r="N90" s="1346"/>
      <c r="O90" s="1346"/>
      <c r="P90" s="1346"/>
      <c r="Q90" s="1346"/>
      <c r="R90" s="1346"/>
      <c r="S90" s="1346"/>
      <c r="T90" s="1346"/>
      <c r="U90" s="1346"/>
      <c r="V90" s="1346"/>
      <c r="W90" s="1346"/>
      <c r="X90" s="1346"/>
      <c r="Y90" s="1346"/>
      <c r="Z90" s="1346"/>
      <c r="AA90" s="1346"/>
      <c r="AB90" s="1346"/>
      <c r="AC90" s="1346"/>
      <c r="AD90" s="1346"/>
      <c r="AE90" s="1346"/>
      <c r="AF90" s="1346"/>
      <c r="AG90" s="1346"/>
      <c r="AH90" s="1346"/>
      <c r="AI90" s="1346"/>
      <c r="AJ90" s="1346"/>
      <c r="AK90" s="1346"/>
      <c r="AL90" s="1346"/>
      <c r="AM90" s="1346"/>
      <c r="AN90" s="1346"/>
      <c r="AO90" s="1346"/>
      <c r="AP90" s="1346"/>
      <c r="AQ90" s="1346"/>
      <c r="AR90" s="1346"/>
      <c r="AS90" s="1346"/>
      <c r="AT90" s="1346"/>
      <c r="AU90" s="1346"/>
      <c r="AV90" s="1346"/>
      <c r="AW90" s="1346"/>
      <c r="AX90" s="1346"/>
      <c r="AY90" s="1346"/>
      <c r="AZ90" s="1346"/>
      <c r="BA90" s="1346"/>
      <c r="BB90" s="1346"/>
      <c r="BC90" s="1346"/>
      <c r="BD90" s="1346"/>
      <c r="BE90" s="1346"/>
      <c r="BF90" s="1346"/>
      <c r="BG90" s="1346"/>
      <c r="BH90" s="1346"/>
      <c r="BI90" s="1346"/>
      <c r="BJ90" s="1346"/>
      <c r="BK90" s="1346"/>
      <c r="BL90" s="1346"/>
      <c r="BM90" s="1346"/>
      <c r="BN90" s="1346"/>
      <c r="BO90" s="1346"/>
      <c r="BP90" s="1346"/>
      <c r="BQ90" s="1346"/>
      <c r="BR90" s="1346"/>
      <c r="BS90" s="1346"/>
      <c r="BT90" s="1346"/>
      <c r="BU90" s="1346"/>
      <c r="BV90" s="1346"/>
      <c r="BW90" s="1346"/>
      <c r="BX90" s="1346"/>
      <c r="BY90" s="1346"/>
      <c r="BZ90" s="1346"/>
      <c r="CA90" s="1346"/>
      <c r="CB90" s="1346"/>
      <c r="CC90" s="1346"/>
    </row>
    <row r="91" spans="1:81" hidden="1">
      <c r="A91" s="584">
        <f t="shared" si="13"/>
        <v>6</v>
      </c>
      <c r="B91" s="1082" t="str">
        <f t="shared" si="13"/>
        <v>General Partner Equity</v>
      </c>
      <c r="C91" s="1943"/>
      <c r="D91" s="1943"/>
      <c r="E91" s="1943"/>
      <c r="F91" s="1943"/>
      <c r="G91" s="1943"/>
      <c r="H91" s="1943"/>
      <c r="I91" s="1943"/>
      <c r="J91" s="1943"/>
      <c r="K91" s="1943"/>
      <c r="L91" s="1346"/>
      <c r="M91" s="1346"/>
      <c r="N91" s="1346"/>
      <c r="O91" s="1346"/>
      <c r="P91" s="1346"/>
      <c r="Q91" s="1346"/>
      <c r="R91" s="1346"/>
      <c r="S91" s="1346"/>
      <c r="T91" s="1346"/>
      <c r="U91" s="1346"/>
      <c r="V91" s="1346"/>
      <c r="W91" s="1346"/>
      <c r="X91" s="1346"/>
      <c r="Y91" s="1346"/>
      <c r="Z91" s="1346"/>
      <c r="AA91" s="1346"/>
      <c r="AB91" s="1346"/>
      <c r="AC91" s="1346"/>
      <c r="AD91" s="1346"/>
      <c r="AE91" s="1346"/>
      <c r="AF91" s="1346"/>
      <c r="AG91" s="1346"/>
      <c r="AH91" s="1346"/>
      <c r="AI91" s="1346"/>
      <c r="AJ91" s="1346"/>
      <c r="AK91" s="1346"/>
      <c r="AL91" s="1346"/>
      <c r="AM91" s="1346"/>
      <c r="AN91" s="1346"/>
      <c r="AO91" s="1346"/>
      <c r="AP91" s="1346"/>
      <c r="AQ91" s="1346"/>
      <c r="AR91" s="1346"/>
      <c r="AS91" s="1346"/>
      <c r="AT91" s="1346"/>
      <c r="AU91" s="1346"/>
      <c r="AV91" s="1346"/>
      <c r="AW91" s="1346"/>
      <c r="AX91" s="1346"/>
      <c r="AY91" s="1346"/>
      <c r="AZ91" s="1346"/>
      <c r="BA91" s="1346"/>
      <c r="BB91" s="1346"/>
      <c r="BC91" s="1346"/>
      <c r="BD91" s="1346"/>
      <c r="BE91" s="1346"/>
      <c r="BF91" s="1346"/>
      <c r="BG91" s="1346"/>
      <c r="BH91" s="1346"/>
      <c r="BI91" s="1346"/>
      <c r="BJ91" s="1346"/>
      <c r="BK91" s="1346"/>
      <c r="BL91" s="1346"/>
      <c r="BM91" s="1346"/>
      <c r="BN91" s="1346"/>
      <c r="BO91" s="1346"/>
      <c r="BP91" s="1346"/>
      <c r="BQ91" s="1346"/>
      <c r="BR91" s="1346"/>
      <c r="BS91" s="1346"/>
      <c r="BT91" s="1346"/>
      <c r="BU91" s="1346"/>
      <c r="BV91" s="1346"/>
      <c r="BW91" s="1346"/>
      <c r="BX91" s="1346"/>
      <c r="BY91" s="1346"/>
      <c r="BZ91" s="1346"/>
      <c r="CA91" s="1346"/>
      <c r="CB91" s="1346"/>
      <c r="CC91" s="1346"/>
    </row>
    <row r="92" spans="1:81" hidden="1">
      <c r="A92" s="584">
        <f t="shared" si="13"/>
        <v>7</v>
      </c>
      <c r="B92" s="1082" t="str">
        <f>B69</f>
        <v>Tax Credit Equity</v>
      </c>
      <c r="C92" s="1943"/>
      <c r="D92" s="1943"/>
      <c r="E92" s="1943"/>
      <c r="F92" s="1943"/>
      <c r="G92" s="1943"/>
      <c r="H92" s="1943"/>
      <c r="I92" s="1943"/>
      <c r="J92" s="1943"/>
      <c r="K92" s="1943"/>
      <c r="L92" s="1346"/>
      <c r="M92" s="1346"/>
      <c r="N92" s="1346"/>
      <c r="O92" s="1346"/>
      <c r="P92" s="1346"/>
      <c r="Q92" s="1346"/>
      <c r="R92" s="1346"/>
      <c r="S92" s="1346"/>
      <c r="T92" s="1346"/>
      <c r="U92" s="1346"/>
      <c r="V92" s="1346"/>
      <c r="W92" s="1346"/>
      <c r="X92" s="1346"/>
      <c r="Y92" s="1346"/>
      <c r="Z92" s="1346"/>
      <c r="AA92" s="1346"/>
      <c r="AB92" s="1346"/>
      <c r="AC92" s="1346"/>
      <c r="AD92" s="1346"/>
      <c r="AE92" s="1346"/>
      <c r="AF92" s="1346"/>
      <c r="AG92" s="1346"/>
      <c r="AH92" s="1346"/>
      <c r="AI92" s="1346"/>
      <c r="AJ92" s="1346"/>
      <c r="AK92" s="1346"/>
      <c r="AL92" s="1346"/>
      <c r="AM92" s="1346"/>
      <c r="AN92" s="1346"/>
      <c r="AO92" s="1346"/>
      <c r="AP92" s="1346"/>
      <c r="AQ92" s="1346"/>
      <c r="AR92" s="1346"/>
      <c r="AS92" s="1346"/>
      <c r="AT92" s="1346"/>
      <c r="AU92" s="1346"/>
      <c r="AV92" s="1346"/>
      <c r="AW92" s="1346"/>
      <c r="AX92" s="1346"/>
      <c r="AY92" s="1346"/>
      <c r="AZ92" s="1346"/>
      <c r="BA92" s="1346"/>
      <c r="BB92" s="1346"/>
      <c r="BC92" s="1346"/>
      <c r="BD92" s="1346"/>
      <c r="BE92" s="1346"/>
      <c r="BF92" s="1346"/>
      <c r="BG92" s="1346"/>
      <c r="BH92" s="1346"/>
      <c r="BI92" s="1346"/>
      <c r="BJ92" s="1346"/>
      <c r="BK92" s="1346"/>
      <c r="BL92" s="1346"/>
      <c r="BM92" s="1346"/>
      <c r="BN92" s="1346"/>
      <c r="BO92" s="1346"/>
      <c r="BP92" s="1346"/>
      <c r="BQ92" s="1346"/>
      <c r="BR92" s="1346"/>
      <c r="BS92" s="1346"/>
      <c r="BT92" s="1346"/>
      <c r="BU92" s="1346"/>
      <c r="BV92" s="1346"/>
      <c r="BW92" s="1346"/>
      <c r="BX92" s="1346"/>
      <c r="BY92" s="1346"/>
      <c r="BZ92" s="1346"/>
      <c r="CA92" s="1346"/>
      <c r="CB92" s="1346"/>
      <c r="CC92" s="1346"/>
    </row>
    <row r="94" spans="1:81" ht="13.7" customHeight="1">
      <c r="A94" s="336" t="s">
        <v>667</v>
      </c>
      <c r="B94" s="1378"/>
      <c r="C94" s="1379"/>
      <c r="D94" s="1379"/>
      <c r="E94" s="1379"/>
      <c r="F94" s="1379"/>
      <c r="G94" s="928"/>
      <c r="H94" s="1379"/>
      <c r="I94" s="1379"/>
      <c r="J94" s="1379"/>
      <c r="K94" s="1381"/>
      <c r="L94" s="1346"/>
      <c r="M94" s="1346"/>
      <c r="N94" s="1346"/>
      <c r="O94" s="1346"/>
      <c r="P94" s="1346"/>
      <c r="Q94" s="1346"/>
      <c r="R94" s="1346"/>
      <c r="S94" s="1346"/>
      <c r="T94" s="1346"/>
      <c r="U94" s="1346"/>
      <c r="V94" s="1346"/>
      <c r="W94" s="1346"/>
      <c r="X94" s="1346"/>
      <c r="Y94" s="1346"/>
      <c r="Z94" s="1346"/>
      <c r="AA94" s="1346"/>
      <c r="AB94" s="1346"/>
      <c r="AC94" s="1346"/>
      <c r="AD94" s="1346"/>
      <c r="AE94" s="1346"/>
      <c r="AF94" s="1346"/>
      <c r="AG94" s="1346"/>
      <c r="AH94" s="1346"/>
      <c r="AI94" s="1346"/>
      <c r="AJ94" s="1346"/>
      <c r="AK94" s="1346"/>
      <c r="AL94" s="1346"/>
      <c r="AM94" s="1346"/>
      <c r="AN94" s="1346"/>
      <c r="AO94" s="1346"/>
      <c r="AP94" s="1346"/>
      <c r="AQ94" s="1346"/>
      <c r="AR94" s="1346"/>
      <c r="AS94" s="1346"/>
      <c r="AT94" s="1346"/>
      <c r="AU94" s="1346"/>
      <c r="AV94" s="1346"/>
      <c r="AW94" s="1346"/>
      <c r="AX94" s="1346"/>
      <c r="AY94" s="1346"/>
      <c r="AZ94" s="1346"/>
      <c r="BA94" s="1346"/>
      <c r="BB94" s="1346"/>
      <c r="BC94" s="1346"/>
      <c r="BD94" s="1346"/>
      <c r="BE94" s="1346"/>
      <c r="BF94" s="1346"/>
      <c r="BG94" s="1346"/>
      <c r="BH94" s="1346"/>
      <c r="BI94" s="1346"/>
      <c r="BJ94" s="1346"/>
      <c r="BK94" s="1346"/>
      <c r="BL94" s="1346"/>
      <c r="BM94" s="1346"/>
      <c r="BN94" s="1346"/>
      <c r="BO94" s="1346"/>
      <c r="BP94" s="1346"/>
      <c r="BQ94" s="1346"/>
      <c r="BR94" s="1346"/>
      <c r="BS94" s="1346"/>
      <c r="BT94" s="1346"/>
      <c r="BU94" s="1346"/>
      <c r="BV94" s="1346"/>
      <c r="BW94" s="1346"/>
      <c r="BX94" s="1346"/>
      <c r="BY94" s="1346"/>
      <c r="BZ94" s="1346"/>
      <c r="CA94" s="1346"/>
      <c r="CB94" s="1346"/>
      <c r="CC94" s="1346"/>
    </row>
    <row r="95" spans="1:81" s="338" customFormat="1" ht="24">
      <c r="A95" s="305"/>
      <c r="B95" s="936" t="s">
        <v>668</v>
      </c>
      <c r="C95" s="936" t="s">
        <v>669</v>
      </c>
      <c r="D95" s="937" t="s">
        <v>670</v>
      </c>
      <c r="E95" s="937" t="s">
        <v>671</v>
      </c>
      <c r="F95" s="1948" t="s">
        <v>672</v>
      </c>
      <c r="G95" s="1948"/>
      <c r="H95" s="937" t="s">
        <v>673</v>
      </c>
      <c r="I95" s="937" t="s">
        <v>674</v>
      </c>
      <c r="J95" s="936" t="s">
        <v>675</v>
      </c>
      <c r="K95" s="936" t="s">
        <v>277</v>
      </c>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c r="AY95" s="337"/>
      <c r="AZ95" s="337"/>
      <c r="BA95" s="337"/>
      <c r="BB95" s="337"/>
      <c r="BC95" s="337"/>
      <c r="BD95" s="337"/>
      <c r="BE95" s="337"/>
      <c r="BF95" s="337"/>
      <c r="BG95" s="337"/>
      <c r="BH95" s="337"/>
      <c r="BI95" s="337"/>
      <c r="BJ95" s="337"/>
      <c r="BK95" s="337"/>
      <c r="BL95" s="337"/>
      <c r="BM95" s="337"/>
      <c r="BN95" s="337"/>
      <c r="BO95" s="337"/>
      <c r="BP95" s="337"/>
      <c r="BQ95" s="337"/>
      <c r="BR95" s="337"/>
      <c r="BS95" s="337"/>
      <c r="BT95" s="337"/>
      <c r="BU95" s="337"/>
      <c r="BV95" s="337"/>
      <c r="BW95" s="337"/>
      <c r="BX95" s="337"/>
      <c r="BY95" s="337"/>
      <c r="BZ95" s="337"/>
      <c r="CA95" s="337"/>
      <c r="CB95" s="337"/>
      <c r="CC95" s="337"/>
    </row>
    <row r="96" spans="1:81" s="929" customFormat="1">
      <c r="A96" s="1395" t="s">
        <v>676</v>
      </c>
      <c r="B96" s="1100" t="s">
        <v>677</v>
      </c>
      <c r="C96" s="1100" t="s">
        <v>678</v>
      </c>
      <c r="D96" s="1396">
        <v>0</v>
      </c>
      <c r="E96" s="1397">
        <f t="shared" ref="E96:E107" si="14">D96/2</f>
        <v>0</v>
      </c>
      <c r="F96" s="1398">
        <v>0</v>
      </c>
      <c r="G96" s="1398">
        <f t="shared" ref="G96:G107" si="15">IF(E96-F96&gt;0,E96-F96,0)</f>
        <v>0</v>
      </c>
      <c r="H96" s="1399">
        <v>0</v>
      </c>
      <c r="I96" s="1400">
        <f t="shared" ref="I96:I107" si="16">IF(H96=0,D96,(F96+G96)*H96)</f>
        <v>0</v>
      </c>
      <c r="J96" s="1401" t="s">
        <v>679</v>
      </c>
      <c r="K96" s="1402"/>
      <c r="L96" s="1403"/>
      <c r="M96" s="1403"/>
      <c r="N96" s="1403"/>
      <c r="O96" s="1403"/>
      <c r="P96" s="1403"/>
      <c r="Q96" s="1403"/>
      <c r="R96" s="1403"/>
      <c r="S96" s="1403"/>
      <c r="T96" s="1403"/>
      <c r="U96" s="1403"/>
      <c r="V96" s="1403"/>
      <c r="W96" s="1403"/>
      <c r="X96" s="1403"/>
      <c r="Y96" s="1403"/>
      <c r="Z96" s="1403"/>
      <c r="AA96" s="1403"/>
      <c r="AB96" s="1403"/>
      <c r="AC96" s="1403"/>
      <c r="AD96" s="1403"/>
      <c r="AE96" s="1403"/>
      <c r="AF96" s="1403"/>
      <c r="AG96" s="1403"/>
      <c r="AH96" s="1403"/>
      <c r="AI96" s="1403"/>
      <c r="AJ96" s="1403"/>
      <c r="AK96" s="1403"/>
      <c r="AL96" s="1403"/>
      <c r="AM96" s="1403"/>
      <c r="AN96" s="1403"/>
      <c r="AO96" s="1403"/>
      <c r="AP96" s="1403"/>
      <c r="AQ96" s="1403"/>
      <c r="AR96" s="1403"/>
      <c r="AS96" s="1403"/>
      <c r="AT96" s="1403"/>
      <c r="AU96" s="1403"/>
      <c r="AV96" s="1403"/>
      <c r="AW96" s="1403"/>
      <c r="AX96" s="1403"/>
      <c r="AY96" s="1403"/>
      <c r="AZ96" s="1403"/>
      <c r="BA96" s="1403"/>
      <c r="BB96" s="1403"/>
      <c r="BC96" s="1403"/>
      <c r="BD96" s="1403"/>
      <c r="BE96" s="1403"/>
      <c r="BF96" s="1403"/>
      <c r="BG96" s="1403"/>
      <c r="BH96" s="1403"/>
      <c r="BI96" s="1403"/>
      <c r="BJ96" s="1403"/>
      <c r="BK96" s="1403"/>
      <c r="BL96" s="1403"/>
      <c r="BM96" s="1403"/>
      <c r="BN96" s="1403"/>
      <c r="BO96" s="1403"/>
      <c r="BP96" s="1403"/>
      <c r="BQ96" s="1403"/>
      <c r="BR96" s="1403"/>
      <c r="BS96" s="1403"/>
      <c r="BT96" s="1403"/>
      <c r="BU96" s="1403"/>
      <c r="BV96" s="1403"/>
      <c r="BW96" s="1403"/>
      <c r="BX96" s="1403"/>
      <c r="BY96" s="1403"/>
      <c r="BZ96" s="1403"/>
      <c r="CA96" s="1403"/>
      <c r="CB96" s="1403"/>
      <c r="CC96" s="1403"/>
    </row>
    <row r="97" spans="1:81" s="929" customFormat="1">
      <c r="A97" s="1395" t="s">
        <v>680</v>
      </c>
      <c r="B97" s="1100" t="s">
        <v>681</v>
      </c>
      <c r="C97" s="1100" t="s">
        <v>682</v>
      </c>
      <c r="D97" s="1396">
        <v>0</v>
      </c>
      <c r="E97" s="1397">
        <f t="shared" si="14"/>
        <v>0</v>
      </c>
      <c r="F97" s="1398">
        <f>IF(Setup!$L$30="Chicago DOH",E97, 0)</f>
        <v>0</v>
      </c>
      <c r="G97" s="1398">
        <f t="shared" si="15"/>
        <v>0</v>
      </c>
      <c r="H97" s="1399">
        <v>0</v>
      </c>
      <c r="I97" s="1400">
        <f t="shared" si="16"/>
        <v>0</v>
      </c>
      <c r="J97" s="1401"/>
      <c r="K97" s="1402"/>
      <c r="L97" s="1403"/>
      <c r="M97" s="1403"/>
      <c r="N97" s="1403"/>
      <c r="O97" s="1403"/>
      <c r="P97" s="1403"/>
      <c r="Q97" s="1403"/>
      <c r="R97" s="1403"/>
      <c r="S97" s="1403"/>
      <c r="T97" s="1403"/>
      <c r="U97" s="1403"/>
      <c r="V97" s="1403"/>
      <c r="W97" s="1403"/>
      <c r="X97" s="1403"/>
      <c r="Y97" s="1403"/>
      <c r="Z97" s="1403"/>
      <c r="AA97" s="1403"/>
      <c r="AB97" s="1403"/>
      <c r="AC97" s="1403"/>
      <c r="AD97" s="1403"/>
      <c r="AE97" s="1403"/>
      <c r="AF97" s="1403"/>
      <c r="AG97" s="1403"/>
      <c r="AH97" s="1403"/>
      <c r="AI97" s="1403"/>
      <c r="AJ97" s="1403"/>
      <c r="AK97" s="1403"/>
      <c r="AL97" s="1403"/>
      <c r="AM97" s="1403"/>
      <c r="AN97" s="1403"/>
      <c r="AO97" s="1403"/>
      <c r="AP97" s="1403"/>
      <c r="AQ97" s="1403"/>
      <c r="AR97" s="1403"/>
      <c r="AS97" s="1403"/>
      <c r="AT97" s="1403"/>
      <c r="AU97" s="1403"/>
      <c r="AV97" s="1403"/>
      <c r="AW97" s="1403"/>
      <c r="AX97" s="1403"/>
      <c r="AY97" s="1403"/>
      <c r="AZ97" s="1403"/>
      <c r="BA97" s="1403"/>
      <c r="BB97" s="1403"/>
      <c r="BC97" s="1403"/>
      <c r="BD97" s="1403"/>
      <c r="BE97" s="1403"/>
      <c r="BF97" s="1403"/>
      <c r="BG97" s="1403"/>
      <c r="BH97" s="1403"/>
      <c r="BI97" s="1403"/>
      <c r="BJ97" s="1403"/>
      <c r="BK97" s="1403"/>
      <c r="BL97" s="1403"/>
      <c r="BM97" s="1403"/>
      <c r="BN97" s="1403"/>
      <c r="BO97" s="1403"/>
      <c r="BP97" s="1403"/>
      <c r="BQ97" s="1403"/>
      <c r="BR97" s="1403"/>
      <c r="BS97" s="1403"/>
      <c r="BT97" s="1403"/>
      <c r="BU97" s="1403"/>
      <c r="BV97" s="1403"/>
      <c r="BW97" s="1403"/>
      <c r="BX97" s="1403"/>
      <c r="BY97" s="1403"/>
      <c r="BZ97" s="1403"/>
      <c r="CA97" s="1403"/>
      <c r="CB97" s="1403"/>
      <c r="CC97" s="1403"/>
    </row>
    <row r="98" spans="1:81" s="929" customFormat="1">
      <c r="A98" s="1395" t="s">
        <v>79</v>
      </c>
      <c r="B98" s="1100" t="s">
        <v>683</v>
      </c>
      <c r="C98" s="1100" t="s">
        <v>682</v>
      </c>
      <c r="D98" s="1396">
        <v>0</v>
      </c>
      <c r="E98" s="1397">
        <f t="shared" si="14"/>
        <v>0</v>
      </c>
      <c r="F98" s="1398">
        <f>IF(Setup!$L$30="Chicago DOH",E98, 0)</f>
        <v>0</v>
      </c>
      <c r="G98" s="1398">
        <f t="shared" si="15"/>
        <v>0</v>
      </c>
      <c r="H98" s="1399">
        <v>0</v>
      </c>
      <c r="I98" s="1400">
        <f t="shared" si="16"/>
        <v>0</v>
      </c>
      <c r="J98" s="1401"/>
      <c r="K98" s="1402"/>
      <c r="L98" s="1403"/>
      <c r="M98" s="1403"/>
      <c r="N98" s="1403"/>
      <c r="O98" s="1403"/>
      <c r="P98" s="1403"/>
      <c r="Q98" s="1403"/>
      <c r="R98" s="1403"/>
      <c r="S98" s="1403"/>
      <c r="T98" s="1403"/>
      <c r="U98" s="1403"/>
      <c r="V98" s="1403"/>
      <c r="W98" s="1403"/>
      <c r="X98" s="1403"/>
      <c r="Y98" s="1403"/>
      <c r="Z98" s="1403"/>
      <c r="AA98" s="1403"/>
      <c r="AB98" s="1403"/>
      <c r="AC98" s="1403"/>
      <c r="AD98" s="1403"/>
      <c r="AE98" s="1403"/>
      <c r="AF98" s="1403"/>
      <c r="AG98" s="1403"/>
      <c r="AH98" s="1403"/>
      <c r="AI98" s="1403"/>
      <c r="AJ98" s="1403"/>
      <c r="AK98" s="1403"/>
      <c r="AL98" s="1403"/>
      <c r="AM98" s="1403"/>
      <c r="AN98" s="1403"/>
      <c r="AO98" s="1403"/>
      <c r="AP98" s="1403"/>
      <c r="AQ98" s="1403"/>
      <c r="AR98" s="1403"/>
      <c r="AS98" s="1403"/>
      <c r="AT98" s="1403"/>
      <c r="AU98" s="1403"/>
      <c r="AV98" s="1403"/>
      <c r="AW98" s="1403"/>
      <c r="AX98" s="1403"/>
      <c r="AY98" s="1403"/>
      <c r="AZ98" s="1403"/>
      <c r="BA98" s="1403"/>
      <c r="BB98" s="1403"/>
      <c r="BC98" s="1403"/>
      <c r="BD98" s="1403"/>
      <c r="BE98" s="1403"/>
      <c r="BF98" s="1403"/>
      <c r="BG98" s="1403"/>
      <c r="BH98" s="1403"/>
      <c r="BI98" s="1403"/>
      <c r="BJ98" s="1403"/>
      <c r="BK98" s="1403"/>
      <c r="BL98" s="1403"/>
      <c r="BM98" s="1403"/>
      <c r="BN98" s="1403"/>
      <c r="BO98" s="1403"/>
      <c r="BP98" s="1403"/>
      <c r="BQ98" s="1403"/>
      <c r="BR98" s="1403"/>
      <c r="BS98" s="1403"/>
      <c r="BT98" s="1403"/>
      <c r="BU98" s="1403"/>
      <c r="BV98" s="1403"/>
      <c r="BW98" s="1403"/>
      <c r="BX98" s="1403"/>
      <c r="BY98" s="1403"/>
      <c r="BZ98" s="1403"/>
      <c r="CA98" s="1403"/>
      <c r="CB98" s="1403"/>
      <c r="CC98" s="1403"/>
    </row>
    <row r="99" spans="1:81" s="929" customFormat="1">
      <c r="A99" s="1395" t="s">
        <v>101</v>
      </c>
      <c r="B99" s="1100" t="s">
        <v>684</v>
      </c>
      <c r="C99" s="1100" t="s">
        <v>682</v>
      </c>
      <c r="D99" s="1396">
        <v>0</v>
      </c>
      <c r="E99" s="1397">
        <f t="shared" si="14"/>
        <v>0</v>
      </c>
      <c r="F99" s="1398">
        <f>IF(Setup!$L$30="Chicago DOH",E99, 0)</f>
        <v>0</v>
      </c>
      <c r="G99" s="1398">
        <f t="shared" si="15"/>
        <v>0</v>
      </c>
      <c r="H99" s="1399">
        <v>0</v>
      </c>
      <c r="I99" s="1400">
        <f t="shared" si="16"/>
        <v>0</v>
      </c>
      <c r="J99" s="1401"/>
      <c r="K99" s="1402"/>
      <c r="L99" s="1403"/>
      <c r="M99" s="1403"/>
      <c r="N99" s="1403"/>
      <c r="O99" s="1403"/>
      <c r="P99" s="1403"/>
      <c r="Q99" s="1403"/>
      <c r="R99" s="1403"/>
      <c r="S99" s="1403"/>
      <c r="T99" s="1403"/>
      <c r="U99" s="1403"/>
      <c r="V99" s="1403"/>
      <c r="W99" s="1403"/>
      <c r="X99" s="1403"/>
      <c r="Y99" s="1403"/>
      <c r="Z99" s="1403"/>
      <c r="AA99" s="1403"/>
      <c r="AB99" s="1403"/>
      <c r="AC99" s="1403"/>
      <c r="AD99" s="1403"/>
      <c r="AE99" s="1403"/>
      <c r="AF99" s="1403"/>
      <c r="AG99" s="1403"/>
      <c r="AH99" s="1403"/>
      <c r="AI99" s="1403"/>
      <c r="AJ99" s="1403"/>
      <c r="AK99" s="1403"/>
      <c r="AL99" s="1403"/>
      <c r="AM99" s="1403"/>
      <c r="AN99" s="1403"/>
      <c r="AO99" s="1403"/>
      <c r="AP99" s="1403"/>
      <c r="AQ99" s="1403"/>
      <c r="AR99" s="1403"/>
      <c r="AS99" s="1403"/>
      <c r="AT99" s="1403"/>
      <c r="AU99" s="1403"/>
      <c r="AV99" s="1403"/>
      <c r="AW99" s="1403"/>
      <c r="AX99" s="1403"/>
      <c r="AY99" s="1403"/>
      <c r="AZ99" s="1403"/>
      <c r="BA99" s="1403"/>
      <c r="BB99" s="1403"/>
      <c r="BC99" s="1403"/>
      <c r="BD99" s="1403"/>
      <c r="BE99" s="1403"/>
      <c r="BF99" s="1403"/>
      <c r="BG99" s="1403"/>
      <c r="BH99" s="1403"/>
      <c r="BI99" s="1403"/>
      <c r="BJ99" s="1403"/>
      <c r="BK99" s="1403"/>
      <c r="BL99" s="1403"/>
      <c r="BM99" s="1403"/>
      <c r="BN99" s="1403"/>
      <c r="BO99" s="1403"/>
      <c r="BP99" s="1403"/>
      <c r="BQ99" s="1403"/>
      <c r="BR99" s="1403"/>
      <c r="BS99" s="1403"/>
      <c r="BT99" s="1403"/>
      <c r="BU99" s="1403"/>
      <c r="BV99" s="1403"/>
      <c r="BW99" s="1403"/>
      <c r="BX99" s="1403"/>
      <c r="BY99" s="1403"/>
      <c r="BZ99" s="1403"/>
      <c r="CA99" s="1403"/>
      <c r="CB99" s="1403"/>
      <c r="CC99" s="1403"/>
    </row>
    <row r="100" spans="1:81" s="929" customFormat="1">
      <c r="A100" s="1395" t="s">
        <v>685</v>
      </c>
      <c r="B100" s="1100" t="s">
        <v>686</v>
      </c>
      <c r="C100" s="1100" t="s">
        <v>682</v>
      </c>
      <c r="D100" s="1396">
        <v>0</v>
      </c>
      <c r="E100" s="1397">
        <f t="shared" si="14"/>
        <v>0</v>
      </c>
      <c r="F100" s="1398">
        <f>IF(Setup!$L$30="Chicago DOH",E100, 0)</f>
        <v>0</v>
      </c>
      <c r="G100" s="1398">
        <f t="shared" si="15"/>
        <v>0</v>
      </c>
      <c r="H100" s="1399">
        <v>0</v>
      </c>
      <c r="I100" s="1400">
        <f t="shared" si="16"/>
        <v>0</v>
      </c>
      <c r="J100" s="1401"/>
      <c r="K100" s="1402"/>
      <c r="L100" s="1403"/>
      <c r="M100" s="1403"/>
      <c r="N100" s="1403"/>
      <c r="O100" s="1403"/>
      <c r="P100" s="1403"/>
      <c r="Q100" s="1403"/>
      <c r="R100" s="1403"/>
      <c r="S100" s="1403"/>
      <c r="T100" s="1403"/>
      <c r="U100" s="1403"/>
      <c r="V100" s="1403"/>
      <c r="W100" s="1403"/>
      <c r="X100" s="1403"/>
      <c r="Y100" s="1403"/>
      <c r="Z100" s="1403"/>
      <c r="AA100" s="1403"/>
      <c r="AB100" s="1403"/>
      <c r="AC100" s="1403"/>
      <c r="AD100" s="1403"/>
      <c r="AE100" s="1403"/>
      <c r="AF100" s="1403"/>
      <c r="AG100" s="1403"/>
      <c r="AH100" s="1403"/>
      <c r="AI100" s="1403"/>
      <c r="AJ100" s="1403"/>
      <c r="AK100" s="1403"/>
      <c r="AL100" s="1403"/>
      <c r="AM100" s="1403"/>
      <c r="AN100" s="1403"/>
      <c r="AO100" s="1403"/>
      <c r="AP100" s="1403"/>
      <c r="AQ100" s="1403"/>
      <c r="AR100" s="1403"/>
      <c r="AS100" s="1403"/>
      <c r="AT100" s="1403"/>
      <c r="AU100" s="1403"/>
      <c r="AV100" s="1403"/>
      <c r="AW100" s="1403"/>
      <c r="AX100" s="1403"/>
      <c r="AY100" s="1403"/>
      <c r="AZ100" s="1403"/>
      <c r="BA100" s="1403"/>
      <c r="BB100" s="1403"/>
      <c r="BC100" s="1403"/>
      <c r="BD100" s="1403"/>
      <c r="BE100" s="1403"/>
      <c r="BF100" s="1403"/>
      <c r="BG100" s="1403"/>
      <c r="BH100" s="1403"/>
      <c r="BI100" s="1403"/>
      <c r="BJ100" s="1403"/>
      <c r="BK100" s="1403"/>
      <c r="BL100" s="1403"/>
      <c r="BM100" s="1403"/>
      <c r="BN100" s="1403"/>
      <c r="BO100" s="1403"/>
      <c r="BP100" s="1403"/>
      <c r="BQ100" s="1403"/>
      <c r="BR100" s="1403"/>
      <c r="BS100" s="1403"/>
      <c r="BT100" s="1403"/>
      <c r="BU100" s="1403"/>
      <c r="BV100" s="1403"/>
      <c r="BW100" s="1403"/>
      <c r="BX100" s="1403"/>
      <c r="BY100" s="1403"/>
      <c r="BZ100" s="1403"/>
      <c r="CA100" s="1403"/>
      <c r="CB100" s="1403"/>
      <c r="CC100" s="1403"/>
    </row>
    <row r="101" spans="1:81" s="929" customFormat="1">
      <c r="A101" s="1395" t="s">
        <v>687</v>
      </c>
      <c r="B101" s="1100" t="s">
        <v>688</v>
      </c>
      <c r="C101" s="1100" t="s">
        <v>682</v>
      </c>
      <c r="D101" s="1396">
        <v>0</v>
      </c>
      <c r="E101" s="1397">
        <f t="shared" si="14"/>
        <v>0</v>
      </c>
      <c r="F101" s="1398">
        <f>IF(Setup!$L$30="Chicago DOH",E101, 0)</f>
        <v>0</v>
      </c>
      <c r="G101" s="1398">
        <f t="shared" si="15"/>
        <v>0</v>
      </c>
      <c r="H101" s="1399">
        <v>0</v>
      </c>
      <c r="I101" s="1400">
        <f t="shared" si="16"/>
        <v>0</v>
      </c>
      <c r="J101" s="1401"/>
      <c r="K101" s="1402"/>
      <c r="L101" s="1403"/>
      <c r="M101" s="1403"/>
      <c r="N101" s="1403"/>
      <c r="O101" s="1403"/>
      <c r="P101" s="1403"/>
      <c r="Q101" s="1403"/>
      <c r="R101" s="1403"/>
      <c r="S101" s="1403"/>
      <c r="T101" s="1403"/>
      <c r="U101" s="1403"/>
      <c r="V101" s="1403"/>
      <c r="W101" s="1403"/>
      <c r="X101" s="1403"/>
      <c r="Y101" s="1403"/>
      <c r="Z101" s="1403"/>
      <c r="AA101" s="1403"/>
      <c r="AB101" s="1403"/>
      <c r="AC101" s="1403"/>
      <c r="AD101" s="1403"/>
      <c r="AE101" s="1403"/>
      <c r="AF101" s="1403"/>
      <c r="AG101" s="1403"/>
      <c r="AH101" s="1403"/>
      <c r="AI101" s="1403"/>
      <c r="AJ101" s="1403"/>
      <c r="AK101" s="1403"/>
      <c r="AL101" s="1403"/>
      <c r="AM101" s="1403"/>
      <c r="AN101" s="1403"/>
      <c r="AO101" s="1403"/>
      <c r="AP101" s="1403"/>
      <c r="AQ101" s="1403"/>
      <c r="AR101" s="1403"/>
      <c r="AS101" s="1403"/>
      <c r="AT101" s="1403"/>
      <c r="AU101" s="1403"/>
      <c r="AV101" s="1403"/>
      <c r="AW101" s="1403"/>
      <c r="AX101" s="1403"/>
      <c r="AY101" s="1403"/>
      <c r="AZ101" s="1403"/>
      <c r="BA101" s="1403"/>
      <c r="BB101" s="1403"/>
      <c r="BC101" s="1403"/>
      <c r="BD101" s="1403"/>
      <c r="BE101" s="1403"/>
      <c r="BF101" s="1403"/>
      <c r="BG101" s="1403"/>
      <c r="BH101" s="1403"/>
      <c r="BI101" s="1403"/>
      <c r="BJ101" s="1403"/>
      <c r="BK101" s="1403"/>
      <c r="BL101" s="1403"/>
      <c r="BM101" s="1403"/>
      <c r="BN101" s="1403"/>
      <c r="BO101" s="1403"/>
      <c r="BP101" s="1403"/>
      <c r="BQ101" s="1403"/>
      <c r="BR101" s="1403"/>
      <c r="BS101" s="1403"/>
      <c r="BT101" s="1403"/>
      <c r="BU101" s="1403"/>
      <c r="BV101" s="1403"/>
      <c r="BW101" s="1403"/>
      <c r="BX101" s="1403"/>
      <c r="BY101" s="1403"/>
      <c r="BZ101" s="1403"/>
      <c r="CA101" s="1403"/>
      <c r="CB101" s="1403"/>
      <c r="CC101" s="1403"/>
    </row>
    <row r="102" spans="1:81" s="929" customFormat="1">
      <c r="A102" s="1395" t="s">
        <v>689</v>
      </c>
      <c r="B102" s="1100" t="s">
        <v>690</v>
      </c>
      <c r="C102" s="1100" t="s">
        <v>682</v>
      </c>
      <c r="D102" s="1396">
        <v>0</v>
      </c>
      <c r="E102" s="1397">
        <f t="shared" si="14"/>
        <v>0</v>
      </c>
      <c r="F102" s="1398">
        <f>IF(Setup!$L$30="Chicago DOH",E102, 0)</f>
        <v>0</v>
      </c>
      <c r="G102" s="1398">
        <f t="shared" si="15"/>
        <v>0</v>
      </c>
      <c r="H102" s="1399">
        <v>0</v>
      </c>
      <c r="I102" s="1400">
        <f t="shared" si="16"/>
        <v>0</v>
      </c>
      <c r="J102" s="1401"/>
      <c r="K102" s="1402"/>
      <c r="L102" s="1403"/>
      <c r="M102" s="1403"/>
      <c r="N102" s="1403"/>
      <c r="O102" s="1403"/>
      <c r="P102" s="1403"/>
      <c r="Q102" s="1403"/>
      <c r="R102" s="1403"/>
      <c r="S102" s="1403"/>
      <c r="T102" s="1403"/>
      <c r="U102" s="1403"/>
      <c r="V102" s="1403"/>
      <c r="W102" s="1403"/>
      <c r="X102" s="1403"/>
      <c r="Y102" s="1403"/>
      <c r="Z102" s="1403"/>
      <c r="AA102" s="1403"/>
      <c r="AB102" s="1403"/>
      <c r="AC102" s="1403"/>
      <c r="AD102" s="1403"/>
      <c r="AE102" s="1403"/>
      <c r="AF102" s="1403"/>
      <c r="AG102" s="1403"/>
      <c r="AH102" s="1403"/>
      <c r="AI102" s="1403"/>
      <c r="AJ102" s="1403"/>
      <c r="AK102" s="1403"/>
      <c r="AL102" s="1403"/>
      <c r="AM102" s="1403"/>
      <c r="AN102" s="1403"/>
      <c r="AO102" s="1403"/>
      <c r="AP102" s="1403"/>
      <c r="AQ102" s="1403"/>
      <c r="AR102" s="1403"/>
      <c r="AS102" s="1403"/>
      <c r="AT102" s="1403"/>
      <c r="AU102" s="1403"/>
      <c r="AV102" s="1403"/>
      <c r="AW102" s="1403"/>
      <c r="AX102" s="1403"/>
      <c r="AY102" s="1403"/>
      <c r="AZ102" s="1403"/>
      <c r="BA102" s="1403"/>
      <c r="BB102" s="1403"/>
      <c r="BC102" s="1403"/>
      <c r="BD102" s="1403"/>
      <c r="BE102" s="1403"/>
      <c r="BF102" s="1403"/>
      <c r="BG102" s="1403"/>
      <c r="BH102" s="1403"/>
      <c r="BI102" s="1403"/>
      <c r="BJ102" s="1403"/>
      <c r="BK102" s="1403"/>
      <c r="BL102" s="1403"/>
      <c r="BM102" s="1403"/>
      <c r="BN102" s="1403"/>
      <c r="BO102" s="1403"/>
      <c r="BP102" s="1403"/>
      <c r="BQ102" s="1403"/>
      <c r="BR102" s="1403"/>
      <c r="BS102" s="1403"/>
      <c r="BT102" s="1403"/>
      <c r="BU102" s="1403"/>
      <c r="BV102" s="1403"/>
      <c r="BW102" s="1403"/>
      <c r="BX102" s="1403"/>
      <c r="BY102" s="1403"/>
      <c r="BZ102" s="1403"/>
      <c r="CA102" s="1403"/>
      <c r="CB102" s="1403"/>
      <c r="CC102" s="1403"/>
    </row>
    <row r="103" spans="1:81" s="929" customFormat="1">
      <c r="A103" s="1395" t="s">
        <v>691</v>
      </c>
      <c r="B103" s="1100" t="s">
        <v>692</v>
      </c>
      <c r="C103" s="1100" t="s">
        <v>682</v>
      </c>
      <c r="D103" s="1396">
        <v>0</v>
      </c>
      <c r="E103" s="1397">
        <f t="shared" si="14"/>
        <v>0</v>
      </c>
      <c r="F103" s="1398">
        <f>IF(Setup!$L$30="Chicago DOH",E103, 0)</f>
        <v>0</v>
      </c>
      <c r="G103" s="1398">
        <f t="shared" si="15"/>
        <v>0</v>
      </c>
      <c r="H103" s="1399">
        <v>0</v>
      </c>
      <c r="I103" s="1400">
        <f t="shared" si="16"/>
        <v>0</v>
      </c>
      <c r="J103" s="1401"/>
      <c r="K103" s="1402"/>
      <c r="L103" s="1403"/>
      <c r="M103" s="1403"/>
      <c r="N103" s="1403"/>
      <c r="O103" s="1403"/>
      <c r="P103" s="1403"/>
      <c r="Q103" s="1403"/>
      <c r="R103" s="1403"/>
      <c r="S103" s="1403"/>
      <c r="T103" s="1403"/>
      <c r="U103" s="1403"/>
      <c r="V103" s="1403"/>
      <c r="W103" s="1403"/>
      <c r="X103" s="1403"/>
      <c r="Y103" s="1403"/>
      <c r="Z103" s="1403"/>
      <c r="AA103" s="1403"/>
      <c r="AB103" s="1403"/>
      <c r="AC103" s="1403"/>
      <c r="AD103" s="1403"/>
      <c r="AE103" s="1403"/>
      <c r="AF103" s="1403"/>
      <c r="AG103" s="1403"/>
      <c r="AH103" s="1403"/>
      <c r="AI103" s="1403"/>
      <c r="AJ103" s="1403"/>
      <c r="AK103" s="1403"/>
      <c r="AL103" s="1403"/>
      <c r="AM103" s="1403"/>
      <c r="AN103" s="1403"/>
      <c r="AO103" s="1403"/>
      <c r="AP103" s="1403"/>
      <c r="AQ103" s="1403"/>
      <c r="AR103" s="1403"/>
      <c r="AS103" s="1403"/>
      <c r="AT103" s="1403"/>
      <c r="AU103" s="1403"/>
      <c r="AV103" s="1403"/>
      <c r="AW103" s="1403"/>
      <c r="AX103" s="1403"/>
      <c r="AY103" s="1403"/>
      <c r="AZ103" s="1403"/>
      <c r="BA103" s="1403"/>
      <c r="BB103" s="1403"/>
      <c r="BC103" s="1403"/>
      <c r="BD103" s="1403"/>
      <c r="BE103" s="1403"/>
      <c r="BF103" s="1403"/>
      <c r="BG103" s="1403"/>
      <c r="BH103" s="1403"/>
      <c r="BI103" s="1403"/>
      <c r="BJ103" s="1403"/>
      <c r="BK103" s="1403"/>
      <c r="BL103" s="1403"/>
      <c r="BM103" s="1403"/>
      <c r="BN103" s="1403"/>
      <c r="BO103" s="1403"/>
      <c r="BP103" s="1403"/>
      <c r="BQ103" s="1403"/>
      <c r="BR103" s="1403"/>
      <c r="BS103" s="1403"/>
      <c r="BT103" s="1403"/>
      <c r="BU103" s="1403"/>
      <c r="BV103" s="1403"/>
      <c r="BW103" s="1403"/>
      <c r="BX103" s="1403"/>
      <c r="BY103" s="1403"/>
      <c r="BZ103" s="1403"/>
      <c r="CA103" s="1403"/>
      <c r="CB103" s="1403"/>
      <c r="CC103" s="1403"/>
    </row>
    <row r="104" spans="1:81" s="929" customFormat="1">
      <c r="A104" s="1395" t="s">
        <v>693</v>
      </c>
      <c r="B104" s="1100" t="s">
        <v>694</v>
      </c>
      <c r="C104" s="1100" t="s">
        <v>682</v>
      </c>
      <c r="D104" s="1396">
        <v>0</v>
      </c>
      <c r="E104" s="1397">
        <f t="shared" si="14"/>
        <v>0</v>
      </c>
      <c r="F104" s="1398">
        <f>IF(Setup!$L$30="Chicago DOH",E104, 0)</f>
        <v>0</v>
      </c>
      <c r="G104" s="1398">
        <f t="shared" si="15"/>
        <v>0</v>
      </c>
      <c r="H104" s="1399">
        <v>0</v>
      </c>
      <c r="I104" s="1400">
        <f t="shared" si="16"/>
        <v>0</v>
      </c>
      <c r="J104" s="1401"/>
      <c r="K104" s="1402"/>
      <c r="L104" s="1403"/>
      <c r="M104" s="1403"/>
      <c r="N104" s="1403"/>
      <c r="O104" s="1403"/>
      <c r="P104" s="1403"/>
      <c r="Q104" s="1403"/>
      <c r="R104" s="1403"/>
      <c r="S104" s="1403"/>
      <c r="T104" s="1403"/>
      <c r="U104" s="1403"/>
      <c r="V104" s="1403"/>
      <c r="W104" s="1403"/>
      <c r="X104" s="1403"/>
      <c r="Y104" s="1403"/>
      <c r="Z104" s="1403"/>
      <c r="AA104" s="1403"/>
      <c r="AB104" s="1403"/>
      <c r="AC104" s="1403"/>
      <c r="AD104" s="1403"/>
      <c r="AE104" s="1403"/>
      <c r="AF104" s="1403"/>
      <c r="AG104" s="1403"/>
      <c r="AH104" s="1403"/>
      <c r="AI104" s="1403"/>
      <c r="AJ104" s="1403"/>
      <c r="AK104" s="1403"/>
      <c r="AL104" s="1403"/>
      <c r="AM104" s="1403"/>
      <c r="AN104" s="1403"/>
      <c r="AO104" s="1403"/>
      <c r="AP104" s="1403"/>
      <c r="AQ104" s="1403"/>
      <c r="AR104" s="1403"/>
      <c r="AS104" s="1403"/>
      <c r="AT104" s="1403"/>
      <c r="AU104" s="1403"/>
      <c r="AV104" s="1403"/>
      <c r="AW104" s="1403"/>
      <c r="AX104" s="1403"/>
      <c r="AY104" s="1403"/>
      <c r="AZ104" s="1403"/>
      <c r="BA104" s="1403"/>
      <c r="BB104" s="1403"/>
      <c r="BC104" s="1403"/>
      <c r="BD104" s="1403"/>
      <c r="BE104" s="1403"/>
      <c r="BF104" s="1403"/>
      <c r="BG104" s="1403"/>
      <c r="BH104" s="1403"/>
      <c r="BI104" s="1403"/>
      <c r="BJ104" s="1403"/>
      <c r="BK104" s="1403"/>
      <c r="BL104" s="1403"/>
      <c r="BM104" s="1403"/>
      <c r="BN104" s="1403"/>
      <c r="BO104" s="1403"/>
      <c r="BP104" s="1403"/>
      <c r="BQ104" s="1403"/>
      <c r="BR104" s="1403"/>
      <c r="BS104" s="1403"/>
      <c r="BT104" s="1403"/>
      <c r="BU104" s="1403"/>
      <c r="BV104" s="1403"/>
      <c r="BW104" s="1403"/>
      <c r="BX104" s="1403"/>
      <c r="BY104" s="1403"/>
      <c r="BZ104" s="1403"/>
      <c r="CA104" s="1403"/>
      <c r="CB104" s="1403"/>
      <c r="CC104" s="1403"/>
    </row>
    <row r="105" spans="1:81" s="929" customFormat="1">
      <c r="A105" s="1395" t="s">
        <v>695</v>
      </c>
      <c r="B105" s="1100" t="s">
        <v>696</v>
      </c>
      <c r="C105" s="1100" t="s">
        <v>682</v>
      </c>
      <c r="D105" s="1396">
        <v>0</v>
      </c>
      <c r="E105" s="1397">
        <f t="shared" si="14"/>
        <v>0</v>
      </c>
      <c r="F105" s="1398">
        <f>IF(Setup!$L$30="Chicago DOH",E105, 0)</f>
        <v>0</v>
      </c>
      <c r="G105" s="1398">
        <f t="shared" si="15"/>
        <v>0</v>
      </c>
      <c r="H105" s="1399">
        <v>0</v>
      </c>
      <c r="I105" s="1400">
        <f t="shared" si="16"/>
        <v>0</v>
      </c>
      <c r="J105" s="1401"/>
      <c r="K105" s="1402"/>
      <c r="L105" s="1403"/>
      <c r="M105" s="1403"/>
      <c r="N105" s="1403"/>
      <c r="O105" s="1403"/>
      <c r="P105" s="1403"/>
      <c r="Q105" s="1403"/>
      <c r="R105" s="1403"/>
      <c r="S105" s="1403"/>
      <c r="T105" s="1403"/>
      <c r="U105" s="1403"/>
      <c r="V105" s="1403"/>
      <c r="W105" s="1403"/>
      <c r="X105" s="1403"/>
      <c r="Y105" s="1403"/>
      <c r="Z105" s="1403"/>
      <c r="AA105" s="1403"/>
      <c r="AB105" s="1403"/>
      <c r="AC105" s="1403"/>
      <c r="AD105" s="1403"/>
      <c r="AE105" s="1403"/>
      <c r="AF105" s="1403"/>
      <c r="AG105" s="1403"/>
      <c r="AH105" s="1403"/>
      <c r="AI105" s="1403"/>
      <c r="AJ105" s="1403"/>
      <c r="AK105" s="1403"/>
      <c r="AL105" s="1403"/>
      <c r="AM105" s="1403"/>
      <c r="AN105" s="1403"/>
      <c r="AO105" s="1403"/>
      <c r="AP105" s="1403"/>
      <c r="AQ105" s="1403"/>
      <c r="AR105" s="1403"/>
      <c r="AS105" s="1403"/>
      <c r="AT105" s="1403"/>
      <c r="AU105" s="1403"/>
      <c r="AV105" s="1403"/>
      <c r="AW105" s="1403"/>
      <c r="AX105" s="1403"/>
      <c r="AY105" s="1403"/>
      <c r="AZ105" s="1403"/>
      <c r="BA105" s="1403"/>
      <c r="BB105" s="1403"/>
      <c r="BC105" s="1403"/>
      <c r="BD105" s="1403"/>
      <c r="BE105" s="1403"/>
      <c r="BF105" s="1403"/>
      <c r="BG105" s="1403"/>
      <c r="BH105" s="1403"/>
      <c r="BI105" s="1403"/>
      <c r="BJ105" s="1403"/>
      <c r="BK105" s="1403"/>
      <c r="BL105" s="1403"/>
      <c r="BM105" s="1403"/>
      <c r="BN105" s="1403"/>
      <c r="BO105" s="1403"/>
      <c r="BP105" s="1403"/>
      <c r="BQ105" s="1403"/>
      <c r="BR105" s="1403"/>
      <c r="BS105" s="1403"/>
      <c r="BT105" s="1403"/>
      <c r="BU105" s="1403"/>
      <c r="BV105" s="1403"/>
      <c r="BW105" s="1403"/>
      <c r="BX105" s="1403"/>
      <c r="BY105" s="1403"/>
      <c r="BZ105" s="1403"/>
      <c r="CA105" s="1403"/>
      <c r="CB105" s="1403"/>
      <c r="CC105" s="1403"/>
    </row>
    <row r="106" spans="1:81" s="929" customFormat="1">
      <c r="A106" s="1395" t="s">
        <v>697</v>
      </c>
      <c r="B106" s="1100" t="s">
        <v>698</v>
      </c>
      <c r="C106" s="1100" t="s">
        <v>682</v>
      </c>
      <c r="D106" s="1396">
        <v>0</v>
      </c>
      <c r="E106" s="1397">
        <f t="shared" si="14"/>
        <v>0</v>
      </c>
      <c r="F106" s="1398">
        <f>IF(Setup!$L$30="Chicago DOH",E106, 0)</f>
        <v>0</v>
      </c>
      <c r="G106" s="1398">
        <f t="shared" si="15"/>
        <v>0</v>
      </c>
      <c r="H106" s="1399">
        <v>0</v>
      </c>
      <c r="I106" s="1400">
        <f t="shared" si="16"/>
        <v>0</v>
      </c>
      <c r="J106" s="1401"/>
      <c r="K106" s="1402"/>
      <c r="L106" s="1403"/>
      <c r="M106" s="1403"/>
      <c r="N106" s="1403"/>
      <c r="O106" s="1403"/>
      <c r="P106" s="1403"/>
      <c r="Q106" s="1403"/>
      <c r="R106" s="1403"/>
      <c r="S106" s="1403"/>
      <c r="T106" s="1403"/>
      <c r="U106" s="1403"/>
      <c r="V106" s="1403"/>
      <c r="W106" s="1403"/>
      <c r="X106" s="1403"/>
      <c r="Y106" s="1403"/>
      <c r="Z106" s="1403"/>
      <c r="AA106" s="1403"/>
      <c r="AB106" s="1403"/>
      <c r="AC106" s="1403"/>
      <c r="AD106" s="1403"/>
      <c r="AE106" s="1403"/>
      <c r="AF106" s="1403"/>
      <c r="AG106" s="1403"/>
      <c r="AH106" s="1403"/>
      <c r="AI106" s="1403"/>
      <c r="AJ106" s="1403"/>
      <c r="AK106" s="1403"/>
      <c r="AL106" s="1403"/>
      <c r="AM106" s="1403"/>
      <c r="AN106" s="1403"/>
      <c r="AO106" s="1403"/>
      <c r="AP106" s="1403"/>
      <c r="AQ106" s="1403"/>
      <c r="AR106" s="1403"/>
      <c r="AS106" s="1403"/>
      <c r="AT106" s="1403"/>
      <c r="AU106" s="1403"/>
      <c r="AV106" s="1403"/>
      <c r="AW106" s="1403"/>
      <c r="AX106" s="1403"/>
      <c r="AY106" s="1403"/>
      <c r="AZ106" s="1403"/>
      <c r="BA106" s="1403"/>
      <c r="BB106" s="1403"/>
      <c r="BC106" s="1403"/>
      <c r="BD106" s="1403"/>
      <c r="BE106" s="1403"/>
      <c r="BF106" s="1403"/>
      <c r="BG106" s="1403"/>
      <c r="BH106" s="1403"/>
      <c r="BI106" s="1403"/>
      <c r="BJ106" s="1403"/>
      <c r="BK106" s="1403"/>
      <c r="BL106" s="1403"/>
      <c r="BM106" s="1403"/>
      <c r="BN106" s="1403"/>
      <c r="BO106" s="1403"/>
      <c r="BP106" s="1403"/>
      <c r="BQ106" s="1403"/>
      <c r="BR106" s="1403"/>
      <c r="BS106" s="1403"/>
      <c r="BT106" s="1403"/>
      <c r="BU106" s="1403"/>
      <c r="BV106" s="1403"/>
      <c r="BW106" s="1403"/>
      <c r="BX106" s="1403"/>
      <c r="BY106" s="1403"/>
      <c r="BZ106" s="1403"/>
      <c r="CA106" s="1403"/>
      <c r="CB106" s="1403"/>
      <c r="CC106" s="1403"/>
    </row>
    <row r="107" spans="1:81" s="929" customFormat="1">
      <c r="A107" s="1395" t="s">
        <v>699</v>
      </c>
      <c r="B107" s="1100" t="s">
        <v>700</v>
      </c>
      <c r="C107" s="1100" t="s">
        <v>682</v>
      </c>
      <c r="D107" s="1396">
        <v>0</v>
      </c>
      <c r="E107" s="1397">
        <f t="shared" si="14"/>
        <v>0</v>
      </c>
      <c r="F107" s="1398">
        <f>IF(Setup!$L$30="Chicago DOH",E107, 0)</f>
        <v>0</v>
      </c>
      <c r="G107" s="1398">
        <f t="shared" si="15"/>
        <v>0</v>
      </c>
      <c r="H107" s="1399">
        <v>0</v>
      </c>
      <c r="I107" s="1400">
        <f t="shared" si="16"/>
        <v>0</v>
      </c>
      <c r="J107" s="1401"/>
      <c r="K107" s="1402"/>
      <c r="L107" s="1403"/>
      <c r="M107" s="1403"/>
      <c r="N107" s="1403"/>
      <c r="O107" s="1403"/>
      <c r="P107" s="1403"/>
      <c r="Q107" s="1403"/>
      <c r="R107" s="1403"/>
      <c r="S107" s="1403"/>
      <c r="T107" s="1403"/>
      <c r="U107" s="1403"/>
      <c r="V107" s="1403"/>
      <c r="W107" s="1403"/>
      <c r="X107" s="1403"/>
      <c r="Y107" s="1403"/>
      <c r="Z107" s="1403"/>
      <c r="AA107" s="1403"/>
      <c r="AB107" s="1403"/>
      <c r="AC107" s="1403"/>
      <c r="AD107" s="1403"/>
      <c r="AE107" s="1403"/>
      <c r="AF107" s="1403"/>
      <c r="AG107" s="1403"/>
      <c r="AH107" s="1403"/>
      <c r="AI107" s="1403"/>
      <c r="AJ107" s="1403"/>
      <c r="AK107" s="1403"/>
      <c r="AL107" s="1403"/>
      <c r="AM107" s="1403"/>
      <c r="AN107" s="1403"/>
      <c r="AO107" s="1403"/>
      <c r="AP107" s="1403"/>
      <c r="AQ107" s="1403"/>
      <c r="AR107" s="1403"/>
      <c r="AS107" s="1403"/>
      <c r="AT107" s="1403"/>
      <c r="AU107" s="1403"/>
      <c r="AV107" s="1403"/>
      <c r="AW107" s="1403"/>
      <c r="AX107" s="1403"/>
      <c r="AY107" s="1403"/>
      <c r="AZ107" s="1403"/>
      <c r="BA107" s="1403"/>
      <c r="BB107" s="1403"/>
      <c r="BC107" s="1403"/>
      <c r="BD107" s="1403"/>
      <c r="BE107" s="1403"/>
      <c r="BF107" s="1403"/>
      <c r="BG107" s="1403"/>
      <c r="BH107" s="1403"/>
      <c r="BI107" s="1403"/>
      <c r="BJ107" s="1403"/>
      <c r="BK107" s="1403"/>
      <c r="BL107" s="1403"/>
      <c r="BM107" s="1403"/>
      <c r="BN107" s="1403"/>
      <c r="BO107" s="1403"/>
      <c r="BP107" s="1403"/>
      <c r="BQ107" s="1403"/>
      <c r="BR107" s="1403"/>
      <c r="BS107" s="1403"/>
      <c r="BT107" s="1403"/>
      <c r="BU107" s="1403"/>
      <c r="BV107" s="1403"/>
      <c r="BW107" s="1403"/>
      <c r="BX107" s="1403"/>
      <c r="BY107" s="1403"/>
      <c r="BZ107" s="1403"/>
      <c r="CA107" s="1403"/>
      <c r="CB107" s="1403"/>
      <c r="CC107" s="1403"/>
    </row>
    <row r="108" spans="1:81" s="939" customFormat="1" ht="24.75" customHeight="1">
      <c r="A108" s="1404" t="s">
        <v>701</v>
      </c>
      <c r="B108" s="941"/>
      <c r="C108" s="943"/>
      <c r="D108" s="947">
        <f>SUM(D96:D107)</f>
        <v>0</v>
      </c>
      <c r="E108" s="948">
        <f>SUM(E96:E107)</f>
        <v>0</v>
      </c>
      <c r="F108" s="948">
        <f>SUM(F96:F107)</f>
        <v>0</v>
      </c>
      <c r="G108" s="948">
        <f>SUM(G96:G107)</f>
        <v>0</v>
      </c>
      <c r="H108" s="949"/>
      <c r="I108" s="947">
        <f>SUM(I96:I107)</f>
        <v>0</v>
      </c>
      <c r="J108" s="1405"/>
      <c r="K108" s="1406"/>
      <c r="L108" s="940"/>
      <c r="M108" s="940"/>
      <c r="N108" s="940"/>
      <c r="O108" s="940"/>
      <c r="P108" s="940"/>
      <c r="Q108" s="940"/>
      <c r="R108" s="940"/>
      <c r="S108" s="940"/>
      <c r="T108" s="940"/>
      <c r="U108" s="940"/>
      <c r="V108" s="940"/>
      <c r="W108" s="940"/>
      <c r="X108" s="940"/>
      <c r="Y108" s="940"/>
      <c r="Z108" s="940"/>
      <c r="AA108" s="940"/>
      <c r="AB108" s="940"/>
      <c r="AC108" s="940"/>
      <c r="AD108" s="940"/>
      <c r="AE108" s="940"/>
      <c r="AF108" s="940"/>
      <c r="AG108" s="940"/>
      <c r="AH108" s="940"/>
      <c r="AI108" s="940"/>
      <c r="AJ108" s="940"/>
      <c r="AK108" s="940"/>
      <c r="AL108" s="940"/>
      <c r="AM108" s="940"/>
      <c r="AN108" s="940"/>
      <c r="AO108" s="940"/>
      <c r="AP108" s="940"/>
      <c r="AQ108" s="940"/>
      <c r="AR108" s="940"/>
      <c r="AS108" s="940"/>
      <c r="AT108" s="940"/>
      <c r="AU108" s="940"/>
      <c r="AV108" s="940"/>
      <c r="AW108" s="940"/>
      <c r="AX108" s="940"/>
      <c r="AY108" s="940"/>
      <c r="AZ108" s="940"/>
      <c r="BA108" s="940"/>
      <c r="BB108" s="940"/>
      <c r="BC108" s="940"/>
      <c r="BD108" s="940"/>
      <c r="BE108" s="940"/>
      <c r="BF108" s="940"/>
      <c r="BG108" s="940"/>
      <c r="BH108" s="940"/>
      <c r="BI108" s="940"/>
      <c r="BJ108" s="940"/>
      <c r="BK108" s="940"/>
      <c r="BL108" s="940"/>
      <c r="BM108" s="940"/>
      <c r="BN108" s="940"/>
      <c r="BO108" s="940"/>
      <c r="BP108" s="940"/>
      <c r="BQ108" s="940"/>
      <c r="BR108" s="940"/>
      <c r="BS108" s="940"/>
      <c r="BT108" s="940"/>
      <c r="BU108" s="940"/>
      <c r="BV108" s="940"/>
      <c r="BW108" s="940"/>
      <c r="BX108" s="940"/>
      <c r="BY108" s="940"/>
      <c r="BZ108" s="940"/>
      <c r="CA108" s="940"/>
      <c r="CB108" s="940"/>
      <c r="CC108" s="940"/>
    </row>
    <row r="109" spans="1:81" s="939" customFormat="1" ht="24.75" customHeight="1">
      <c r="A109" s="1407" t="s">
        <v>702</v>
      </c>
      <c r="B109" s="1408"/>
      <c r="C109" s="1409"/>
      <c r="D109" s="941"/>
      <c r="E109" s="941"/>
      <c r="F109" s="941"/>
      <c r="G109" s="941"/>
      <c r="H109" s="941"/>
      <c r="I109" s="1410">
        <v>0</v>
      </c>
      <c r="J109" s="942" t="s">
        <v>703</v>
      </c>
      <c r="K109" s="946" t="str">
        <f>IF(I109=0,"",I109/D111)</f>
        <v/>
      </c>
      <c r="L109" s="940"/>
      <c r="M109" s="940"/>
      <c r="N109" s="940"/>
      <c r="O109" s="940"/>
      <c r="P109" s="940"/>
      <c r="Q109" s="940"/>
      <c r="R109" s="940"/>
      <c r="S109" s="940"/>
      <c r="T109" s="940"/>
      <c r="U109" s="940"/>
      <c r="V109" s="940"/>
      <c r="W109" s="940"/>
      <c r="X109" s="940"/>
      <c r="Y109" s="940"/>
      <c r="Z109" s="940"/>
      <c r="AA109" s="940"/>
      <c r="AB109" s="940"/>
      <c r="AC109" s="940"/>
      <c r="AD109" s="940"/>
      <c r="AE109" s="940"/>
      <c r="AF109" s="940"/>
      <c r="AG109" s="940"/>
      <c r="AH109" s="940"/>
      <c r="AI109" s="940"/>
      <c r="AJ109" s="940"/>
      <c r="AK109" s="940"/>
      <c r="AL109" s="940"/>
      <c r="AM109" s="940"/>
      <c r="AN109" s="940"/>
      <c r="AO109" s="940"/>
      <c r="AP109" s="940"/>
      <c r="AQ109" s="940"/>
      <c r="AR109" s="940"/>
      <c r="AS109" s="940"/>
      <c r="AT109" s="940"/>
      <c r="AU109" s="940"/>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0"/>
      <c r="BQ109" s="940"/>
      <c r="BR109" s="940"/>
      <c r="BS109" s="940"/>
      <c r="BT109" s="940"/>
      <c r="BU109" s="940"/>
      <c r="BV109" s="940"/>
      <c r="BW109" s="940"/>
      <c r="BX109" s="940"/>
      <c r="BY109" s="940"/>
      <c r="BZ109" s="940"/>
      <c r="CA109" s="940"/>
      <c r="CB109" s="940"/>
    </row>
    <row r="110" spans="1:81" s="945" customFormat="1" ht="24.75" customHeight="1">
      <c r="A110" s="1404" t="s">
        <v>704</v>
      </c>
      <c r="B110" s="941"/>
      <c r="C110" s="943"/>
      <c r="D110" s="1409"/>
      <c r="E110" s="1409"/>
      <c r="F110" s="1409"/>
      <c r="G110" s="1411"/>
      <c r="H110" s="1409"/>
      <c r="I110" s="944">
        <f>I108-I109</f>
        <v>0</v>
      </c>
      <c r="J110" s="1412"/>
      <c r="K110" s="1413"/>
      <c r="L110" s="1414"/>
      <c r="M110" s="1414"/>
      <c r="N110" s="1414"/>
      <c r="O110" s="1414"/>
      <c r="P110" s="1414"/>
      <c r="Q110" s="1414"/>
      <c r="R110" s="1414"/>
      <c r="S110" s="1414"/>
      <c r="T110" s="1414"/>
      <c r="U110" s="1414"/>
      <c r="V110" s="1414"/>
      <c r="W110" s="1414"/>
      <c r="X110" s="1414"/>
      <c r="Y110" s="1414"/>
      <c r="Z110" s="1414"/>
      <c r="AA110" s="1414"/>
      <c r="AB110" s="1414"/>
      <c r="AC110" s="1414"/>
      <c r="AD110" s="1414"/>
      <c r="AE110" s="1414"/>
      <c r="AF110" s="1414"/>
      <c r="AG110" s="1414"/>
      <c r="AH110" s="1414"/>
      <c r="AI110" s="1414"/>
      <c r="AJ110" s="1414"/>
      <c r="AK110" s="1414"/>
      <c r="AL110" s="1414"/>
      <c r="AM110" s="1414"/>
      <c r="AN110" s="1414"/>
      <c r="AO110" s="1414"/>
      <c r="AP110" s="1414"/>
      <c r="AQ110" s="1414"/>
      <c r="AR110" s="1414"/>
      <c r="AS110" s="1414"/>
      <c r="AT110" s="1414"/>
      <c r="AU110" s="1414"/>
      <c r="AV110" s="1414"/>
      <c r="AW110" s="1414"/>
      <c r="AX110" s="1414"/>
      <c r="AY110" s="1414"/>
      <c r="AZ110" s="1414"/>
      <c r="BA110" s="1414"/>
      <c r="BB110" s="1414"/>
      <c r="BC110" s="1414"/>
      <c r="BD110" s="1414"/>
      <c r="BE110" s="1414"/>
      <c r="BF110" s="1414"/>
      <c r="BG110" s="1414"/>
      <c r="BH110" s="1414"/>
      <c r="BI110" s="1414"/>
      <c r="BJ110" s="1414"/>
      <c r="BK110" s="1414"/>
      <c r="BL110" s="1414"/>
      <c r="BM110" s="1414"/>
      <c r="BN110" s="1414"/>
      <c r="BO110" s="1414"/>
      <c r="BP110" s="1414"/>
      <c r="BQ110" s="1414"/>
      <c r="BR110" s="1414"/>
      <c r="BS110" s="1414"/>
      <c r="BT110" s="1414"/>
      <c r="BU110" s="1414"/>
      <c r="BV110" s="1414"/>
      <c r="BW110" s="1414"/>
      <c r="BX110" s="1414"/>
      <c r="BY110" s="1414"/>
      <c r="BZ110" s="1414"/>
      <c r="CA110" s="1414"/>
      <c r="CB110" s="1414"/>
      <c r="CC110" s="1415"/>
    </row>
    <row r="111" spans="1:81" s="945" customFormat="1" ht="24.75" customHeight="1">
      <c r="A111" s="1416" t="s">
        <v>705</v>
      </c>
      <c r="B111" s="1417"/>
      <c r="C111" s="1417"/>
      <c r="D111" s="1418">
        <f>D108</f>
        <v>0</v>
      </c>
      <c r="E111" s="1412"/>
      <c r="F111" s="1404" t="s">
        <v>706</v>
      </c>
      <c r="G111" s="941"/>
      <c r="H111" s="943"/>
      <c r="I111" s="947">
        <f>G108+F108</f>
        <v>0</v>
      </c>
      <c r="J111" s="942" t="s">
        <v>703</v>
      </c>
      <c r="K111" s="946" t="str">
        <f>IF(I111=0,"",I111/D111)</f>
        <v/>
      </c>
      <c r="L111" s="1414"/>
      <c r="M111" s="1414"/>
      <c r="N111" s="1414"/>
      <c r="O111" s="1414"/>
      <c r="P111" s="1414"/>
      <c r="Q111" s="1414"/>
      <c r="R111" s="1414"/>
      <c r="S111" s="1414"/>
      <c r="T111" s="1414"/>
      <c r="U111" s="1414"/>
      <c r="V111" s="1414"/>
      <c r="W111" s="1414"/>
      <c r="X111" s="1414"/>
      <c r="Y111" s="1414"/>
      <c r="Z111" s="1414"/>
      <c r="AA111" s="1414"/>
      <c r="AB111" s="1414"/>
      <c r="AC111" s="1414"/>
      <c r="AD111" s="1414"/>
      <c r="AE111" s="1414"/>
      <c r="AF111" s="1414"/>
      <c r="AG111" s="1414"/>
      <c r="AH111" s="1414"/>
      <c r="AI111" s="1414"/>
      <c r="AJ111" s="1414"/>
      <c r="AK111" s="1414"/>
      <c r="AL111" s="1414"/>
      <c r="AM111" s="1414"/>
      <c r="AN111" s="1414"/>
      <c r="AO111" s="1414"/>
      <c r="AP111" s="1414"/>
      <c r="AQ111" s="1414"/>
      <c r="AR111" s="1414"/>
      <c r="AS111" s="1414"/>
      <c r="AT111" s="1414"/>
      <c r="AU111" s="1414"/>
      <c r="AV111" s="1414"/>
      <c r="AW111" s="1414"/>
      <c r="AX111" s="1414"/>
      <c r="AY111" s="1414"/>
      <c r="AZ111" s="1414"/>
      <c r="BA111" s="1414"/>
      <c r="BB111" s="1414"/>
      <c r="BC111" s="1414"/>
      <c r="BD111" s="1414"/>
      <c r="BE111" s="1414"/>
      <c r="BF111" s="1414"/>
      <c r="BG111" s="1414"/>
      <c r="BH111" s="1414"/>
      <c r="BI111" s="1414"/>
      <c r="BJ111" s="1414"/>
      <c r="BK111" s="1414"/>
      <c r="BL111" s="1414"/>
      <c r="BM111" s="1414"/>
      <c r="BN111" s="1414"/>
      <c r="BO111" s="1414"/>
      <c r="BP111" s="1414"/>
      <c r="BQ111" s="1414"/>
      <c r="BR111" s="1414"/>
      <c r="BS111" s="1414"/>
      <c r="BT111" s="1414"/>
      <c r="BU111" s="1414"/>
      <c r="BV111" s="1414"/>
      <c r="BW111" s="1414"/>
      <c r="BX111" s="1414"/>
      <c r="BY111" s="1414"/>
      <c r="BZ111" s="1414"/>
      <c r="CA111" s="1414"/>
      <c r="CB111" s="1414"/>
      <c r="CC111" s="1415"/>
    </row>
    <row r="112" spans="1:81" s="312" customFormat="1">
      <c r="A112" s="1944" t="str">
        <f>IF(I111&gt;D108/2,"WARNING -- TOTAL CREDITS ARE GREATER THAN 50% OF TOTAL DONATIONS", "")</f>
        <v/>
      </c>
      <c r="B112" s="1944"/>
      <c r="C112" s="1944"/>
      <c r="D112" s="1944"/>
      <c r="E112" s="1944"/>
      <c r="F112" s="1949" t="str">
        <f>IF(I109&gt;0.1*D108,"WARNING - OPERATING &amp;TECHNICAL ASSISTANCE SHOULD NOT EXCEED 10% OF TOTAL DONATIONS.","")</f>
        <v/>
      </c>
      <c r="G112" s="1949"/>
      <c r="H112" s="1949"/>
      <c r="I112" s="1949"/>
      <c r="J112" s="1949"/>
      <c r="K112" s="1949"/>
      <c r="L112" s="1949"/>
      <c r="M112" s="1419"/>
      <c r="N112" s="1419"/>
      <c r="O112" s="1419"/>
      <c r="P112" s="1419"/>
      <c r="Q112" s="1419"/>
      <c r="R112" s="1419"/>
      <c r="S112" s="1419"/>
      <c r="T112" s="1419"/>
      <c r="U112" s="1419"/>
      <c r="V112" s="1419"/>
      <c r="W112" s="1419"/>
      <c r="X112" s="1419"/>
      <c r="Y112" s="1419"/>
      <c r="Z112" s="1419"/>
      <c r="AA112" s="1419"/>
      <c r="AB112" s="1419"/>
      <c r="AC112" s="1419"/>
      <c r="AD112" s="1419"/>
      <c r="AE112" s="1419"/>
      <c r="AF112" s="1419"/>
      <c r="AG112" s="1419"/>
      <c r="AH112" s="1419"/>
      <c r="AI112" s="1419"/>
      <c r="AJ112" s="1419"/>
      <c r="AK112" s="1419"/>
      <c r="AL112" s="1419"/>
      <c r="AM112" s="1419"/>
      <c r="AN112" s="1419"/>
      <c r="AO112" s="1419"/>
      <c r="AP112" s="1419"/>
      <c r="AQ112" s="1419"/>
      <c r="AR112" s="1419"/>
      <c r="AS112" s="1419"/>
      <c r="AT112" s="1419"/>
      <c r="AU112" s="1419"/>
      <c r="AV112" s="1419"/>
      <c r="AW112" s="1419"/>
      <c r="AX112" s="1419"/>
      <c r="AY112" s="1419"/>
      <c r="AZ112" s="1419"/>
      <c r="BA112" s="1419"/>
      <c r="BB112" s="1419"/>
      <c r="BC112" s="1419"/>
      <c r="BD112" s="1419"/>
      <c r="BE112" s="1419"/>
      <c r="BF112" s="1419"/>
      <c r="BG112" s="1419"/>
      <c r="BH112" s="1419"/>
      <c r="BI112" s="1419"/>
      <c r="BJ112" s="1419"/>
      <c r="BK112" s="1419"/>
      <c r="BL112" s="1419"/>
      <c r="BM112" s="1419"/>
      <c r="BN112" s="1419"/>
      <c r="BO112" s="1419"/>
      <c r="BP112" s="1419"/>
      <c r="BQ112" s="1419"/>
      <c r="BR112" s="1419"/>
      <c r="BS112" s="1419"/>
      <c r="BT112" s="1419"/>
      <c r="BU112" s="1419"/>
      <c r="BV112" s="1419"/>
      <c r="BW112" s="1419"/>
      <c r="BX112" s="1419"/>
      <c r="BY112" s="1419"/>
      <c r="BZ112" s="1419"/>
      <c r="CA112" s="1419"/>
      <c r="CB112" s="1419"/>
      <c r="CC112" s="1082"/>
    </row>
    <row r="113" spans="1:81">
      <c r="A113" s="584"/>
      <c r="B113" s="1378"/>
      <c r="C113" s="1379"/>
      <c r="D113" s="1379"/>
      <c r="E113" s="1379"/>
      <c r="F113" s="1380"/>
      <c r="G113" s="1379"/>
      <c r="H113" s="1379"/>
      <c r="I113" s="1379"/>
      <c r="J113" s="1381"/>
      <c r="K113" s="1420"/>
      <c r="L113" s="1346"/>
      <c r="M113" s="1346"/>
      <c r="N113" s="1346"/>
      <c r="O113" s="1346"/>
      <c r="P113" s="1346"/>
      <c r="Q113" s="1346"/>
      <c r="R113" s="1346"/>
      <c r="S113" s="1346"/>
      <c r="T113" s="1346"/>
      <c r="U113" s="1346"/>
      <c r="V113" s="1346"/>
      <c r="W113" s="1346"/>
      <c r="X113" s="1346"/>
      <c r="Y113" s="1346"/>
      <c r="Z113" s="1346"/>
      <c r="AA113" s="1346"/>
      <c r="AB113" s="1346"/>
      <c r="AC113" s="1346"/>
      <c r="AD113" s="1346"/>
      <c r="AE113" s="1346"/>
      <c r="AF113" s="1346"/>
      <c r="AG113" s="1346"/>
      <c r="AH113" s="1346"/>
      <c r="AI113" s="1346"/>
      <c r="AJ113" s="1346"/>
      <c r="AK113" s="1346"/>
      <c r="AL113" s="1346"/>
      <c r="AM113" s="1346"/>
      <c r="AN113" s="1346"/>
      <c r="AO113" s="1346"/>
      <c r="AP113" s="1346"/>
      <c r="AQ113" s="1346"/>
      <c r="AR113" s="1346"/>
      <c r="AS113" s="1346"/>
      <c r="AT113" s="1346"/>
      <c r="AU113" s="1346"/>
      <c r="AV113" s="1346"/>
      <c r="AW113" s="1346"/>
      <c r="AX113" s="1346"/>
      <c r="AY113" s="1346"/>
      <c r="AZ113" s="1346"/>
      <c r="BA113" s="1346"/>
      <c r="BB113" s="1346"/>
      <c r="BC113" s="1346"/>
      <c r="BD113" s="1346"/>
      <c r="BE113" s="1346"/>
      <c r="BF113" s="1346"/>
      <c r="BG113" s="1346"/>
      <c r="BH113" s="1346"/>
      <c r="BI113" s="1346"/>
      <c r="BJ113" s="1346"/>
      <c r="BK113" s="1346"/>
      <c r="BL113" s="1346"/>
      <c r="BM113" s="1346"/>
      <c r="BN113" s="1346"/>
      <c r="BO113" s="1346"/>
      <c r="BP113" s="1346"/>
      <c r="BQ113" s="1346"/>
      <c r="BR113" s="1346"/>
      <c r="BS113" s="1346"/>
      <c r="BT113" s="1346"/>
      <c r="BU113" s="1346"/>
      <c r="BV113" s="1346"/>
      <c r="BW113" s="1346"/>
      <c r="BX113" s="1346"/>
      <c r="BY113" s="1346"/>
      <c r="BZ113" s="1346"/>
      <c r="CA113" s="1346"/>
      <c r="CB113" s="1346"/>
      <c r="CC113" s="1378"/>
    </row>
    <row r="114" spans="1:81" hidden="1">
      <c r="A114" s="584" t="s">
        <v>707</v>
      </c>
      <c r="B114" s="1378"/>
      <c r="C114" s="1379">
        <f>SUM(E114:E118)</f>
        <v>0</v>
      </c>
      <c r="D114" s="1379"/>
      <c r="E114" s="1379">
        <f>IF(C9="Chicago DOH",D9,0)</f>
        <v>0</v>
      </c>
      <c r="F114" s="1380"/>
      <c r="G114" s="1379"/>
      <c r="H114" s="1379"/>
      <c r="I114" s="1379"/>
      <c r="J114" s="1381"/>
      <c r="K114" s="1420"/>
      <c r="L114" s="1346"/>
      <c r="M114" s="1346"/>
      <c r="N114" s="1346"/>
      <c r="O114" s="1346"/>
      <c r="P114" s="1346"/>
      <c r="Q114" s="1346"/>
      <c r="R114" s="1346"/>
      <c r="S114" s="1346"/>
      <c r="T114" s="1346"/>
      <c r="U114" s="1346"/>
      <c r="V114" s="1346"/>
      <c r="W114" s="1346"/>
      <c r="X114" s="1346"/>
      <c r="Y114" s="1346"/>
      <c r="Z114" s="1346"/>
      <c r="AA114" s="1346"/>
      <c r="AB114" s="1346"/>
      <c r="AC114" s="1346"/>
      <c r="AD114" s="1346"/>
      <c r="AE114" s="1346"/>
      <c r="AF114" s="1346"/>
      <c r="AG114" s="1346"/>
      <c r="AH114" s="1346"/>
      <c r="AI114" s="1346"/>
      <c r="AJ114" s="1346"/>
      <c r="AK114" s="1346"/>
      <c r="AL114" s="1346"/>
      <c r="AM114" s="1346"/>
      <c r="AN114" s="1346"/>
      <c r="AO114" s="1346"/>
      <c r="AP114" s="1346"/>
      <c r="AQ114" s="1346"/>
      <c r="AR114" s="1346"/>
      <c r="AS114" s="1346"/>
      <c r="AT114" s="1346"/>
      <c r="AU114" s="1346"/>
      <c r="AV114" s="1346"/>
      <c r="AW114" s="1346"/>
      <c r="AX114" s="1346"/>
      <c r="AY114" s="1346"/>
      <c r="AZ114" s="1346"/>
      <c r="BA114" s="1346"/>
      <c r="BB114" s="1346"/>
      <c r="BC114" s="1346"/>
      <c r="BD114" s="1346"/>
      <c r="BE114" s="1346"/>
      <c r="BF114" s="1346"/>
      <c r="BG114" s="1346"/>
      <c r="BH114" s="1346"/>
      <c r="BI114" s="1346"/>
      <c r="BJ114" s="1346"/>
      <c r="BK114" s="1346"/>
      <c r="BL114" s="1346"/>
      <c r="BM114" s="1346"/>
      <c r="BN114" s="1346"/>
      <c r="BO114" s="1346"/>
      <c r="BP114" s="1346"/>
      <c r="BQ114" s="1346"/>
      <c r="BR114" s="1346"/>
      <c r="BS114" s="1346"/>
      <c r="BT114" s="1346"/>
      <c r="BU114" s="1346"/>
      <c r="BV114" s="1346"/>
      <c r="BW114" s="1346"/>
      <c r="BX114" s="1346"/>
      <c r="BY114" s="1346"/>
      <c r="BZ114" s="1346"/>
      <c r="CA114" s="1346"/>
      <c r="CB114" s="1346"/>
      <c r="CC114" s="1378"/>
    </row>
    <row r="115" spans="1:81" hidden="1">
      <c r="A115" s="584"/>
      <c r="B115" s="1378"/>
      <c r="C115" s="1379"/>
      <c r="D115" s="1379"/>
      <c r="E115" s="1379">
        <f>IF(C10="Chicago DOH",D10,0)</f>
        <v>0</v>
      </c>
      <c r="F115" s="1380"/>
      <c r="G115" s="1379"/>
      <c r="H115" s="1379"/>
      <c r="I115" s="1379"/>
      <c r="J115" s="1381"/>
      <c r="K115" s="1420"/>
      <c r="L115" s="1346"/>
      <c r="M115" s="1346"/>
      <c r="N115" s="1346"/>
      <c r="O115" s="1346"/>
      <c r="P115" s="1346"/>
      <c r="Q115" s="1346"/>
      <c r="R115" s="1346"/>
      <c r="S115" s="1346"/>
      <c r="T115" s="1346"/>
      <c r="U115" s="1346"/>
      <c r="V115" s="1346"/>
      <c r="W115" s="1346"/>
      <c r="X115" s="1346"/>
      <c r="Y115" s="1346"/>
      <c r="Z115" s="1346"/>
      <c r="AA115" s="1346"/>
      <c r="AB115" s="1346"/>
      <c r="AC115" s="1346"/>
      <c r="AD115" s="1346"/>
      <c r="AE115" s="1346"/>
      <c r="AF115" s="1346"/>
      <c r="AG115" s="1346"/>
      <c r="AH115" s="1346"/>
      <c r="AI115" s="1346"/>
      <c r="AJ115" s="1346"/>
      <c r="AK115" s="1346"/>
      <c r="AL115" s="1346"/>
      <c r="AM115" s="1346"/>
      <c r="AN115" s="1346"/>
      <c r="AO115" s="1346"/>
      <c r="AP115" s="1346"/>
      <c r="AQ115" s="1346"/>
      <c r="AR115" s="1346"/>
      <c r="AS115" s="1346"/>
      <c r="AT115" s="1346"/>
      <c r="AU115" s="1346"/>
      <c r="AV115" s="1346"/>
      <c r="AW115" s="1346"/>
      <c r="AX115" s="1346"/>
      <c r="AY115" s="1346"/>
      <c r="AZ115" s="1346"/>
      <c r="BA115" s="1346"/>
      <c r="BB115" s="1346"/>
      <c r="BC115" s="1346"/>
      <c r="BD115" s="1346"/>
      <c r="BE115" s="1346"/>
      <c r="BF115" s="1346"/>
      <c r="BG115" s="1346"/>
      <c r="BH115" s="1346"/>
      <c r="BI115" s="1346"/>
      <c r="BJ115" s="1346"/>
      <c r="BK115" s="1346"/>
      <c r="BL115" s="1346"/>
      <c r="BM115" s="1346"/>
      <c r="BN115" s="1346"/>
      <c r="BO115" s="1346"/>
      <c r="BP115" s="1346"/>
      <c r="BQ115" s="1346"/>
      <c r="BR115" s="1346"/>
      <c r="BS115" s="1346"/>
      <c r="BT115" s="1346"/>
      <c r="BU115" s="1346"/>
      <c r="BV115" s="1346"/>
      <c r="BW115" s="1346"/>
      <c r="BX115" s="1346"/>
      <c r="BY115" s="1346"/>
      <c r="BZ115" s="1346"/>
      <c r="CA115" s="1346"/>
      <c r="CB115" s="1346"/>
      <c r="CC115" s="1378"/>
    </row>
    <row r="116" spans="1:81" hidden="1">
      <c r="A116" s="584" t="s">
        <v>708</v>
      </c>
      <c r="B116" s="1378"/>
      <c r="C116" s="1379">
        <f>SUM(E121:E125)</f>
        <v>0</v>
      </c>
      <c r="D116" s="1379"/>
      <c r="E116" s="1379">
        <f>IF(C11="Chicago DOH",D11,0)</f>
        <v>0</v>
      </c>
      <c r="F116" s="1380"/>
      <c r="G116" s="1379"/>
      <c r="H116" s="1379"/>
      <c r="I116" s="1379"/>
      <c r="J116" s="1381"/>
      <c r="K116" s="1420"/>
      <c r="L116" s="1346"/>
      <c r="M116" s="1346"/>
      <c r="N116" s="1346"/>
      <c r="O116" s="1346"/>
      <c r="P116" s="1346"/>
      <c r="Q116" s="1346"/>
      <c r="R116" s="1346"/>
      <c r="S116" s="1346"/>
      <c r="T116" s="1346"/>
      <c r="U116" s="1346"/>
      <c r="V116" s="1346"/>
      <c r="W116" s="1346"/>
      <c r="X116" s="1346"/>
      <c r="Y116" s="1346"/>
      <c r="Z116" s="1346"/>
      <c r="AA116" s="1346"/>
      <c r="AB116" s="1346"/>
      <c r="AC116" s="1346"/>
      <c r="AD116" s="1346"/>
      <c r="AE116" s="1346"/>
      <c r="AF116" s="1346"/>
      <c r="AG116" s="1346"/>
      <c r="AH116" s="1346"/>
      <c r="AI116" s="1346"/>
      <c r="AJ116" s="1346"/>
      <c r="AK116" s="1346"/>
      <c r="AL116" s="1346"/>
      <c r="AM116" s="1346"/>
      <c r="AN116" s="1346"/>
      <c r="AO116" s="1346"/>
      <c r="AP116" s="1346"/>
      <c r="AQ116" s="1346"/>
      <c r="AR116" s="1346"/>
      <c r="AS116" s="1346"/>
      <c r="AT116" s="1346"/>
      <c r="AU116" s="1346"/>
      <c r="AV116" s="1346"/>
      <c r="AW116" s="1346"/>
      <c r="AX116" s="1346"/>
      <c r="AY116" s="1346"/>
      <c r="AZ116" s="1346"/>
      <c r="BA116" s="1346"/>
      <c r="BB116" s="1346"/>
      <c r="BC116" s="1346"/>
      <c r="BD116" s="1346"/>
      <c r="BE116" s="1346"/>
      <c r="BF116" s="1346"/>
      <c r="BG116" s="1346"/>
      <c r="BH116" s="1346"/>
      <c r="BI116" s="1346"/>
      <c r="BJ116" s="1346"/>
      <c r="BK116" s="1346"/>
      <c r="BL116" s="1346"/>
      <c r="BM116" s="1346"/>
      <c r="BN116" s="1346"/>
      <c r="BO116" s="1346"/>
      <c r="BP116" s="1346"/>
      <c r="BQ116" s="1346"/>
      <c r="BR116" s="1346"/>
      <c r="BS116" s="1346"/>
      <c r="BT116" s="1346"/>
      <c r="BU116" s="1346"/>
      <c r="BV116" s="1346"/>
      <c r="BW116" s="1346"/>
      <c r="BX116" s="1346"/>
      <c r="BY116" s="1346"/>
      <c r="BZ116" s="1346"/>
      <c r="CA116" s="1346"/>
      <c r="CB116" s="1346"/>
      <c r="CC116" s="1378"/>
    </row>
    <row r="117" spans="1:81" hidden="1">
      <c r="A117" s="584"/>
      <c r="B117" s="1378"/>
      <c r="C117" s="1379"/>
      <c r="D117" s="1379"/>
      <c r="E117" s="1379">
        <f>IF(C12="Chicago DOH",D12,0)</f>
        <v>0</v>
      </c>
      <c r="F117" s="1380"/>
      <c r="G117" s="1379"/>
      <c r="H117" s="1379"/>
      <c r="I117" s="1379"/>
      <c r="J117" s="1381"/>
      <c r="K117" s="1420"/>
      <c r="L117" s="1346"/>
      <c r="M117" s="1346"/>
      <c r="N117" s="1346"/>
      <c r="O117" s="1346"/>
      <c r="P117" s="1346"/>
      <c r="Q117" s="1346"/>
      <c r="R117" s="1346"/>
      <c r="S117" s="1346"/>
      <c r="T117" s="1346"/>
      <c r="U117" s="1346"/>
      <c r="V117" s="1346"/>
      <c r="W117" s="1346"/>
      <c r="X117" s="1346"/>
      <c r="Y117" s="1346"/>
      <c r="Z117" s="1346"/>
      <c r="AA117" s="1346"/>
      <c r="AB117" s="1346"/>
      <c r="AC117" s="1346"/>
      <c r="AD117" s="1346"/>
      <c r="AE117" s="1346"/>
      <c r="AF117" s="1346"/>
      <c r="AG117" s="1346"/>
      <c r="AH117" s="1346"/>
      <c r="AI117" s="1346"/>
      <c r="AJ117" s="1346"/>
      <c r="AK117" s="1346"/>
      <c r="AL117" s="1346"/>
      <c r="AM117" s="1346"/>
      <c r="AN117" s="1346"/>
      <c r="AO117" s="1346"/>
      <c r="AP117" s="1346"/>
      <c r="AQ117" s="1346"/>
      <c r="AR117" s="1346"/>
      <c r="AS117" s="1346"/>
      <c r="AT117" s="1346"/>
      <c r="AU117" s="1346"/>
      <c r="AV117" s="1346"/>
      <c r="AW117" s="1346"/>
      <c r="AX117" s="1346"/>
      <c r="AY117" s="1346"/>
      <c r="AZ117" s="1346"/>
      <c r="BA117" s="1346"/>
      <c r="BB117" s="1346"/>
      <c r="BC117" s="1346"/>
      <c r="BD117" s="1346"/>
      <c r="BE117" s="1346"/>
      <c r="BF117" s="1346"/>
      <c r="BG117" s="1346"/>
      <c r="BH117" s="1346"/>
      <c r="BI117" s="1346"/>
      <c r="BJ117" s="1346"/>
      <c r="BK117" s="1346"/>
      <c r="BL117" s="1346"/>
      <c r="BM117" s="1346"/>
      <c r="BN117" s="1346"/>
      <c r="BO117" s="1346"/>
      <c r="BP117" s="1346"/>
      <c r="BQ117" s="1346"/>
      <c r="BR117" s="1346"/>
      <c r="BS117" s="1346"/>
      <c r="BT117" s="1346"/>
      <c r="BU117" s="1346"/>
      <c r="BV117" s="1346"/>
      <c r="BW117" s="1346"/>
      <c r="BX117" s="1346"/>
      <c r="BY117" s="1346"/>
      <c r="BZ117" s="1346"/>
      <c r="CA117" s="1346"/>
      <c r="CB117" s="1346"/>
      <c r="CC117" s="1378"/>
    </row>
    <row r="118" spans="1:81" hidden="1">
      <c r="A118" s="584"/>
      <c r="B118" s="1378"/>
      <c r="C118" s="1379"/>
      <c r="D118" s="1379"/>
      <c r="E118" s="1379">
        <f>IF(C13="Chicago DOH",D13,0)</f>
        <v>0</v>
      </c>
      <c r="F118" s="1380"/>
      <c r="G118" s="1379"/>
      <c r="H118" s="1379"/>
      <c r="I118" s="1379"/>
      <c r="J118" s="1381"/>
      <c r="K118" s="1420"/>
      <c r="L118" s="1346"/>
      <c r="M118" s="1346"/>
      <c r="N118" s="1346"/>
      <c r="O118" s="1346"/>
      <c r="P118" s="1346"/>
      <c r="Q118" s="1346"/>
      <c r="R118" s="1346"/>
      <c r="S118" s="1346"/>
      <c r="T118" s="1346"/>
      <c r="U118" s="1346"/>
      <c r="V118" s="1346"/>
      <c r="W118" s="1346"/>
      <c r="X118" s="1346"/>
      <c r="Y118" s="1346"/>
      <c r="Z118" s="1346"/>
      <c r="AA118" s="1346"/>
      <c r="AB118" s="1346"/>
      <c r="AC118" s="1346"/>
      <c r="AD118" s="1346"/>
      <c r="AE118" s="1346"/>
      <c r="AF118" s="1346"/>
      <c r="AG118" s="1346"/>
      <c r="AH118" s="1346"/>
      <c r="AI118" s="1346"/>
      <c r="AJ118" s="1346"/>
      <c r="AK118" s="1346"/>
      <c r="AL118" s="1346"/>
      <c r="AM118" s="1346"/>
      <c r="AN118" s="1346"/>
      <c r="AO118" s="1346"/>
      <c r="AP118" s="1346"/>
      <c r="AQ118" s="1346"/>
      <c r="AR118" s="1346"/>
      <c r="AS118" s="1346"/>
      <c r="AT118" s="1346"/>
      <c r="AU118" s="1346"/>
      <c r="AV118" s="1346"/>
      <c r="AW118" s="1346"/>
      <c r="AX118" s="1346"/>
      <c r="AY118" s="1346"/>
      <c r="AZ118" s="1346"/>
      <c r="BA118" s="1346"/>
      <c r="BB118" s="1346"/>
      <c r="BC118" s="1346"/>
      <c r="BD118" s="1346"/>
      <c r="BE118" s="1346"/>
      <c r="BF118" s="1346"/>
      <c r="BG118" s="1346"/>
      <c r="BH118" s="1346"/>
      <c r="BI118" s="1346"/>
      <c r="BJ118" s="1346"/>
      <c r="BK118" s="1346"/>
      <c r="BL118" s="1346"/>
      <c r="BM118" s="1346"/>
      <c r="BN118" s="1346"/>
      <c r="BO118" s="1346"/>
      <c r="BP118" s="1346"/>
      <c r="BQ118" s="1346"/>
      <c r="BR118" s="1346"/>
      <c r="BS118" s="1346"/>
      <c r="BT118" s="1346"/>
      <c r="BU118" s="1346"/>
      <c r="BV118" s="1346"/>
      <c r="BW118" s="1346"/>
      <c r="BX118" s="1346"/>
      <c r="BY118" s="1346"/>
      <c r="BZ118" s="1346"/>
      <c r="CA118" s="1346"/>
      <c r="CB118" s="1346"/>
      <c r="CC118" s="1378"/>
    </row>
    <row r="119" spans="1:81" hidden="1">
      <c r="A119" s="584"/>
      <c r="B119" s="1378"/>
      <c r="C119" s="1379"/>
      <c r="D119" s="1379"/>
      <c r="E119" s="1379"/>
      <c r="F119" s="1380"/>
      <c r="G119" s="1379"/>
      <c r="H119" s="1379"/>
      <c r="I119" s="1379"/>
      <c r="J119" s="1381"/>
      <c r="K119" s="1420"/>
      <c r="L119" s="1346"/>
      <c r="M119" s="1346"/>
      <c r="N119" s="1346"/>
      <c r="O119" s="1346"/>
      <c r="P119" s="1346"/>
      <c r="Q119" s="1346"/>
      <c r="R119" s="1346"/>
      <c r="S119" s="1346"/>
      <c r="T119" s="1346"/>
      <c r="U119" s="1346"/>
      <c r="V119" s="1346"/>
      <c r="W119" s="1346"/>
      <c r="X119" s="1346"/>
      <c r="Y119" s="1346"/>
      <c r="Z119" s="1346"/>
      <c r="AA119" s="1346"/>
      <c r="AB119" s="1346"/>
      <c r="AC119" s="1346"/>
      <c r="AD119" s="1346"/>
      <c r="AE119" s="1346"/>
      <c r="AF119" s="1346"/>
      <c r="AG119" s="1346"/>
      <c r="AH119" s="1346"/>
      <c r="AI119" s="1346"/>
      <c r="AJ119" s="1346"/>
      <c r="AK119" s="1346"/>
      <c r="AL119" s="1346"/>
      <c r="AM119" s="1346"/>
      <c r="AN119" s="1346"/>
      <c r="AO119" s="1346"/>
      <c r="AP119" s="1346"/>
      <c r="AQ119" s="1346"/>
      <c r="AR119" s="1346"/>
      <c r="AS119" s="1346"/>
      <c r="AT119" s="1346"/>
      <c r="AU119" s="1346"/>
      <c r="AV119" s="1346"/>
      <c r="AW119" s="1346"/>
      <c r="AX119" s="1346"/>
      <c r="AY119" s="1346"/>
      <c r="AZ119" s="1346"/>
      <c r="BA119" s="1346"/>
      <c r="BB119" s="1346"/>
      <c r="BC119" s="1346"/>
      <c r="BD119" s="1346"/>
      <c r="BE119" s="1346"/>
      <c r="BF119" s="1346"/>
      <c r="BG119" s="1346"/>
      <c r="BH119" s="1346"/>
      <c r="BI119" s="1346"/>
      <c r="BJ119" s="1346"/>
      <c r="BK119" s="1346"/>
      <c r="BL119" s="1346"/>
      <c r="BM119" s="1346"/>
      <c r="BN119" s="1346"/>
      <c r="BO119" s="1346"/>
      <c r="BP119" s="1346"/>
      <c r="BQ119" s="1346"/>
      <c r="BR119" s="1346"/>
      <c r="BS119" s="1346"/>
      <c r="BT119" s="1346"/>
      <c r="BU119" s="1346"/>
      <c r="BV119" s="1346"/>
      <c r="BW119" s="1346"/>
      <c r="BX119" s="1346"/>
      <c r="BY119" s="1346"/>
      <c r="BZ119" s="1346"/>
      <c r="CA119" s="1346"/>
      <c r="CB119" s="1346"/>
      <c r="CC119" s="1378"/>
    </row>
    <row r="120" spans="1:81" hidden="1">
      <c r="A120" s="584"/>
      <c r="B120" s="1378"/>
      <c r="C120" s="1379"/>
      <c r="D120" s="1379"/>
      <c r="E120" s="1379"/>
      <c r="F120" s="1380"/>
      <c r="G120" s="1379"/>
      <c r="H120" s="1379"/>
      <c r="I120" s="1379"/>
      <c r="J120" s="1381"/>
      <c r="K120" s="1420"/>
      <c r="L120" s="1346"/>
      <c r="M120" s="1346"/>
      <c r="N120" s="1346"/>
      <c r="O120" s="1346"/>
      <c r="P120" s="1346"/>
      <c r="Q120" s="1346"/>
      <c r="R120" s="1346"/>
      <c r="S120" s="1346"/>
      <c r="T120" s="1346"/>
      <c r="U120" s="1346"/>
      <c r="V120" s="1346"/>
      <c r="W120" s="1346"/>
      <c r="X120" s="1346"/>
      <c r="Y120" s="1346"/>
      <c r="Z120" s="1346"/>
      <c r="AA120" s="1346"/>
      <c r="AB120" s="1346"/>
      <c r="AC120" s="1346"/>
      <c r="AD120" s="1346"/>
      <c r="AE120" s="1346"/>
      <c r="AF120" s="1346"/>
      <c r="AG120" s="1346"/>
      <c r="AH120" s="1346"/>
      <c r="AI120" s="1346"/>
      <c r="AJ120" s="1346"/>
      <c r="AK120" s="1346"/>
      <c r="AL120" s="1346"/>
      <c r="AM120" s="1346"/>
      <c r="AN120" s="1346"/>
      <c r="AO120" s="1346"/>
      <c r="AP120" s="1346"/>
      <c r="AQ120" s="1346"/>
      <c r="AR120" s="1346"/>
      <c r="AS120" s="1346"/>
      <c r="AT120" s="1346"/>
      <c r="AU120" s="1346"/>
      <c r="AV120" s="1346"/>
      <c r="AW120" s="1346"/>
      <c r="AX120" s="1346"/>
      <c r="AY120" s="1346"/>
      <c r="AZ120" s="1346"/>
      <c r="BA120" s="1346"/>
      <c r="BB120" s="1346"/>
      <c r="BC120" s="1346"/>
      <c r="BD120" s="1346"/>
      <c r="BE120" s="1346"/>
      <c r="BF120" s="1346"/>
      <c r="BG120" s="1346"/>
      <c r="BH120" s="1346"/>
      <c r="BI120" s="1346"/>
      <c r="BJ120" s="1346"/>
      <c r="BK120" s="1346"/>
      <c r="BL120" s="1346"/>
      <c r="BM120" s="1346"/>
      <c r="BN120" s="1346"/>
      <c r="BO120" s="1346"/>
      <c r="BP120" s="1346"/>
      <c r="BQ120" s="1346"/>
      <c r="BR120" s="1346"/>
      <c r="BS120" s="1346"/>
      <c r="BT120" s="1346"/>
      <c r="BU120" s="1346"/>
      <c r="BV120" s="1346"/>
      <c r="BW120" s="1346"/>
      <c r="BX120" s="1346"/>
      <c r="BY120" s="1346"/>
      <c r="BZ120" s="1346"/>
      <c r="CA120" s="1346"/>
      <c r="CB120" s="1346"/>
      <c r="CC120" s="1378"/>
    </row>
    <row r="121" spans="1:81" hidden="1">
      <c r="A121" s="584"/>
      <c r="B121" s="1378"/>
      <c r="C121" s="1379"/>
      <c r="D121" s="1379"/>
      <c r="E121" s="1379">
        <f>IF(C55="Chicago DOH",D16,0)</f>
        <v>0</v>
      </c>
      <c r="F121" s="1380"/>
      <c r="G121" s="1379"/>
      <c r="H121" s="1379"/>
      <c r="I121" s="1379"/>
      <c r="J121" s="1381"/>
      <c r="K121" s="1420"/>
      <c r="L121" s="1346"/>
      <c r="M121" s="1346"/>
      <c r="N121" s="1346"/>
      <c r="O121" s="1346"/>
      <c r="P121" s="1346"/>
      <c r="Q121" s="1346"/>
      <c r="R121" s="1346"/>
      <c r="S121" s="1346"/>
      <c r="T121" s="1346"/>
      <c r="U121" s="1346"/>
      <c r="V121" s="1346"/>
      <c r="W121" s="1346"/>
      <c r="X121" s="1346"/>
      <c r="Y121" s="1346"/>
      <c r="Z121" s="1346"/>
      <c r="AA121" s="1346"/>
      <c r="AB121" s="1346"/>
      <c r="AC121" s="1346"/>
      <c r="AD121" s="1346"/>
      <c r="AE121" s="1346"/>
      <c r="AF121" s="1346"/>
      <c r="AG121" s="1346"/>
      <c r="AH121" s="1346"/>
      <c r="AI121" s="1346"/>
      <c r="AJ121" s="1346"/>
      <c r="AK121" s="1346"/>
      <c r="AL121" s="1346"/>
      <c r="AM121" s="1346"/>
      <c r="AN121" s="1346"/>
      <c r="AO121" s="1346"/>
      <c r="AP121" s="1346"/>
      <c r="AQ121" s="1346"/>
      <c r="AR121" s="1346"/>
      <c r="AS121" s="1346"/>
      <c r="AT121" s="1346"/>
      <c r="AU121" s="1346"/>
      <c r="AV121" s="1346"/>
      <c r="AW121" s="1346"/>
      <c r="AX121" s="1346"/>
      <c r="AY121" s="1346"/>
      <c r="AZ121" s="1346"/>
      <c r="BA121" s="1346"/>
      <c r="BB121" s="1346"/>
      <c r="BC121" s="1346"/>
      <c r="BD121" s="1346"/>
      <c r="BE121" s="1346"/>
      <c r="BF121" s="1346"/>
      <c r="BG121" s="1346"/>
      <c r="BH121" s="1346"/>
      <c r="BI121" s="1346"/>
      <c r="BJ121" s="1346"/>
      <c r="BK121" s="1346"/>
      <c r="BL121" s="1346"/>
      <c r="BM121" s="1346"/>
      <c r="BN121" s="1346"/>
      <c r="BO121" s="1346"/>
      <c r="BP121" s="1346"/>
      <c r="BQ121" s="1346"/>
      <c r="BR121" s="1346"/>
      <c r="BS121" s="1346"/>
      <c r="BT121" s="1346"/>
      <c r="BU121" s="1346"/>
      <c r="BV121" s="1346"/>
      <c r="BW121" s="1346"/>
      <c r="BX121" s="1346"/>
      <c r="BY121" s="1346"/>
      <c r="BZ121" s="1346"/>
      <c r="CA121" s="1346"/>
      <c r="CB121" s="1346"/>
      <c r="CC121" s="1378"/>
    </row>
    <row r="122" spans="1:81" hidden="1">
      <c r="A122" s="584"/>
      <c r="B122" s="1378"/>
      <c r="C122" s="1379"/>
      <c r="D122" s="1379"/>
      <c r="E122" s="1379">
        <f>IF(C56="Chicago DOH",D17,0)</f>
        <v>0</v>
      </c>
      <c r="F122" s="1380"/>
      <c r="G122" s="1379"/>
      <c r="H122" s="1379"/>
      <c r="I122" s="1379"/>
      <c r="J122" s="1381"/>
      <c r="K122" s="1420"/>
      <c r="L122" s="1346"/>
      <c r="M122" s="1346"/>
      <c r="N122" s="1346"/>
      <c r="O122" s="1346"/>
      <c r="P122" s="1346"/>
      <c r="Q122" s="1346"/>
      <c r="R122" s="1346"/>
      <c r="S122" s="1346"/>
      <c r="T122" s="1346"/>
      <c r="U122" s="1346"/>
      <c r="V122" s="1346"/>
      <c r="W122" s="1346"/>
      <c r="X122" s="1346"/>
      <c r="Y122" s="1346"/>
      <c r="Z122" s="1346"/>
      <c r="AA122" s="1346"/>
      <c r="AB122" s="1346"/>
      <c r="AC122" s="1346"/>
      <c r="AD122" s="1346"/>
      <c r="AE122" s="1346"/>
      <c r="AF122" s="1346"/>
      <c r="AG122" s="1346"/>
      <c r="AH122" s="1346"/>
      <c r="AI122" s="1346"/>
      <c r="AJ122" s="1346"/>
      <c r="AK122" s="1346"/>
      <c r="AL122" s="1346"/>
      <c r="AM122" s="1346"/>
      <c r="AN122" s="1346"/>
      <c r="AO122" s="1346"/>
      <c r="AP122" s="1346"/>
      <c r="AQ122" s="1346"/>
      <c r="AR122" s="1346"/>
      <c r="AS122" s="1346"/>
      <c r="AT122" s="1346"/>
      <c r="AU122" s="1346"/>
      <c r="AV122" s="1346"/>
      <c r="AW122" s="1346"/>
      <c r="AX122" s="1346"/>
      <c r="AY122" s="1346"/>
      <c r="AZ122" s="1346"/>
      <c r="BA122" s="1346"/>
      <c r="BB122" s="1346"/>
      <c r="BC122" s="1346"/>
      <c r="BD122" s="1346"/>
      <c r="BE122" s="1346"/>
      <c r="BF122" s="1346"/>
      <c r="BG122" s="1346"/>
      <c r="BH122" s="1346"/>
      <c r="BI122" s="1346"/>
      <c r="BJ122" s="1346"/>
      <c r="BK122" s="1346"/>
      <c r="BL122" s="1346"/>
      <c r="BM122" s="1346"/>
      <c r="BN122" s="1346"/>
      <c r="BO122" s="1346"/>
      <c r="BP122" s="1346"/>
      <c r="BQ122" s="1346"/>
      <c r="BR122" s="1346"/>
      <c r="BS122" s="1346"/>
      <c r="BT122" s="1346"/>
      <c r="BU122" s="1346"/>
      <c r="BV122" s="1346"/>
      <c r="BW122" s="1346"/>
      <c r="BX122" s="1346"/>
      <c r="BY122" s="1346"/>
      <c r="BZ122" s="1346"/>
      <c r="CA122" s="1346"/>
      <c r="CB122" s="1346"/>
      <c r="CC122" s="1378"/>
    </row>
    <row r="123" spans="1:81" hidden="1">
      <c r="A123" s="584"/>
      <c r="B123" s="1378"/>
      <c r="C123" s="1379"/>
      <c r="D123" s="1379"/>
      <c r="E123" s="1379">
        <f>IF(C57="Chicago DOH",D18,0)</f>
        <v>0</v>
      </c>
      <c r="F123" s="1380"/>
      <c r="G123" s="1379"/>
      <c r="H123" s="1379"/>
      <c r="I123" s="1379"/>
      <c r="J123" s="1381"/>
      <c r="K123" s="1420"/>
      <c r="L123" s="1346"/>
      <c r="M123" s="1346"/>
      <c r="N123" s="1346"/>
      <c r="O123" s="1346"/>
      <c r="P123" s="1346"/>
      <c r="Q123" s="1346"/>
      <c r="R123" s="1346"/>
      <c r="S123" s="1346"/>
      <c r="T123" s="1346"/>
      <c r="U123" s="1346"/>
      <c r="V123" s="1346"/>
      <c r="W123" s="1346"/>
      <c r="X123" s="1346"/>
      <c r="Y123" s="1346"/>
      <c r="Z123" s="1346"/>
      <c r="AA123" s="1346"/>
      <c r="AB123" s="1346"/>
      <c r="AC123" s="1346"/>
      <c r="AD123" s="1346"/>
      <c r="AE123" s="1346"/>
      <c r="AF123" s="1346"/>
      <c r="AG123" s="1346"/>
      <c r="AH123" s="1346"/>
      <c r="AI123" s="1346"/>
      <c r="AJ123" s="1346"/>
      <c r="AK123" s="1346"/>
      <c r="AL123" s="1346"/>
      <c r="AM123" s="1346"/>
      <c r="AN123" s="1346"/>
      <c r="AO123" s="1346"/>
      <c r="AP123" s="1346"/>
      <c r="AQ123" s="1346"/>
      <c r="AR123" s="1346"/>
      <c r="AS123" s="1346"/>
      <c r="AT123" s="1346"/>
      <c r="AU123" s="1346"/>
      <c r="AV123" s="1346"/>
      <c r="AW123" s="1346"/>
      <c r="AX123" s="1346"/>
      <c r="AY123" s="1346"/>
      <c r="AZ123" s="1346"/>
      <c r="BA123" s="1346"/>
      <c r="BB123" s="1346"/>
      <c r="BC123" s="1346"/>
      <c r="BD123" s="1346"/>
      <c r="BE123" s="1346"/>
      <c r="BF123" s="1346"/>
      <c r="BG123" s="1346"/>
      <c r="BH123" s="1346"/>
      <c r="BI123" s="1346"/>
      <c r="BJ123" s="1346"/>
      <c r="BK123" s="1346"/>
      <c r="BL123" s="1346"/>
      <c r="BM123" s="1346"/>
      <c r="BN123" s="1346"/>
      <c r="BO123" s="1346"/>
      <c r="BP123" s="1346"/>
      <c r="BQ123" s="1346"/>
      <c r="BR123" s="1346"/>
      <c r="BS123" s="1346"/>
      <c r="BT123" s="1346"/>
      <c r="BU123" s="1346"/>
      <c r="BV123" s="1346"/>
      <c r="BW123" s="1346"/>
      <c r="BX123" s="1346"/>
      <c r="BY123" s="1346"/>
      <c r="BZ123" s="1346"/>
      <c r="CA123" s="1346"/>
      <c r="CB123" s="1346"/>
      <c r="CC123" s="1378"/>
    </row>
    <row r="124" spans="1:81" hidden="1">
      <c r="A124" s="584"/>
      <c r="B124" s="1378"/>
      <c r="C124" s="1379"/>
      <c r="D124" s="1379"/>
      <c r="E124" s="1379">
        <f>IF(C58="Chicago DOH",D19,0)</f>
        <v>0</v>
      </c>
      <c r="F124" s="1380"/>
      <c r="G124" s="1379"/>
      <c r="H124" s="1379"/>
      <c r="I124" s="1379"/>
      <c r="J124" s="1381"/>
      <c r="K124" s="1420"/>
      <c r="L124" s="1346"/>
      <c r="M124" s="1346"/>
      <c r="N124" s="1346"/>
      <c r="O124" s="1346"/>
      <c r="P124" s="1346"/>
      <c r="Q124" s="1346"/>
      <c r="R124" s="1346"/>
      <c r="S124" s="1346"/>
      <c r="T124" s="1346"/>
      <c r="U124" s="1346"/>
      <c r="V124" s="1346"/>
      <c r="W124" s="1346"/>
      <c r="X124" s="1346"/>
      <c r="Y124" s="1346"/>
      <c r="Z124" s="1346"/>
      <c r="AA124" s="1346"/>
      <c r="AB124" s="1346"/>
      <c r="AC124" s="1346"/>
      <c r="AD124" s="1346"/>
      <c r="AE124" s="1346"/>
      <c r="AF124" s="1346"/>
      <c r="AG124" s="1346"/>
      <c r="AH124" s="1346"/>
      <c r="AI124" s="1346"/>
      <c r="AJ124" s="1346"/>
      <c r="AK124" s="1346"/>
      <c r="AL124" s="1346"/>
      <c r="AM124" s="1346"/>
      <c r="AN124" s="1346"/>
      <c r="AO124" s="1346"/>
      <c r="AP124" s="1346"/>
      <c r="AQ124" s="1346"/>
      <c r="AR124" s="1346"/>
      <c r="AS124" s="1346"/>
      <c r="AT124" s="1346"/>
      <c r="AU124" s="1346"/>
      <c r="AV124" s="1346"/>
      <c r="AW124" s="1346"/>
      <c r="AX124" s="1346"/>
      <c r="AY124" s="1346"/>
      <c r="AZ124" s="1346"/>
      <c r="BA124" s="1346"/>
      <c r="BB124" s="1346"/>
      <c r="BC124" s="1346"/>
      <c r="BD124" s="1346"/>
      <c r="BE124" s="1346"/>
      <c r="BF124" s="1346"/>
      <c r="BG124" s="1346"/>
      <c r="BH124" s="1346"/>
      <c r="BI124" s="1346"/>
      <c r="BJ124" s="1346"/>
      <c r="BK124" s="1346"/>
      <c r="BL124" s="1346"/>
      <c r="BM124" s="1346"/>
      <c r="BN124" s="1346"/>
      <c r="BO124" s="1346"/>
      <c r="BP124" s="1346"/>
      <c r="BQ124" s="1346"/>
      <c r="BR124" s="1346"/>
      <c r="BS124" s="1346"/>
      <c r="BT124" s="1346"/>
      <c r="BU124" s="1346"/>
      <c r="BV124" s="1346"/>
      <c r="BW124" s="1346"/>
      <c r="BX124" s="1346"/>
      <c r="BY124" s="1346"/>
      <c r="BZ124" s="1346"/>
      <c r="CA124" s="1346"/>
      <c r="CB124" s="1346"/>
      <c r="CC124" s="1378"/>
    </row>
    <row r="125" spans="1:81" hidden="1">
      <c r="A125" s="584"/>
      <c r="B125" s="1378"/>
      <c r="C125" s="1379"/>
      <c r="D125" s="1379"/>
      <c r="E125" s="1379">
        <f>IF(C59="Chicago DOH",D20,0)</f>
        <v>0</v>
      </c>
      <c r="F125" s="1380"/>
      <c r="G125" s="1379"/>
      <c r="H125" s="1379"/>
      <c r="I125" s="1379"/>
      <c r="J125" s="1381"/>
      <c r="K125" s="1420"/>
      <c r="L125" s="1346"/>
      <c r="M125" s="1346"/>
      <c r="N125" s="1346"/>
      <c r="O125" s="1346"/>
      <c r="P125" s="1346"/>
      <c r="Q125" s="1346"/>
      <c r="R125" s="1346"/>
      <c r="S125" s="1346"/>
      <c r="T125" s="1346"/>
      <c r="U125" s="1346"/>
      <c r="V125" s="1346"/>
      <c r="W125" s="1346"/>
      <c r="X125" s="1346"/>
      <c r="Y125" s="1346"/>
      <c r="Z125" s="1346"/>
      <c r="AA125" s="1346"/>
      <c r="AB125" s="1346"/>
      <c r="AC125" s="1346"/>
      <c r="AD125" s="1346"/>
      <c r="AE125" s="1346"/>
      <c r="AF125" s="1346"/>
      <c r="AG125" s="1346"/>
      <c r="AH125" s="1346"/>
      <c r="AI125" s="1346"/>
      <c r="AJ125" s="1346"/>
      <c r="AK125" s="1346"/>
      <c r="AL125" s="1346"/>
      <c r="AM125" s="1346"/>
      <c r="AN125" s="1346"/>
      <c r="AO125" s="1346"/>
      <c r="AP125" s="1346"/>
      <c r="AQ125" s="1346"/>
      <c r="AR125" s="1346"/>
      <c r="AS125" s="1346"/>
      <c r="AT125" s="1346"/>
      <c r="AU125" s="1346"/>
      <c r="AV125" s="1346"/>
      <c r="AW125" s="1346"/>
      <c r="AX125" s="1346"/>
      <c r="AY125" s="1346"/>
      <c r="AZ125" s="1346"/>
      <c r="BA125" s="1346"/>
      <c r="BB125" s="1346"/>
      <c r="BC125" s="1346"/>
      <c r="BD125" s="1346"/>
      <c r="BE125" s="1346"/>
      <c r="BF125" s="1346"/>
      <c r="BG125" s="1346"/>
      <c r="BH125" s="1346"/>
      <c r="BI125" s="1346"/>
      <c r="BJ125" s="1346"/>
      <c r="BK125" s="1346"/>
      <c r="BL125" s="1346"/>
      <c r="BM125" s="1346"/>
      <c r="BN125" s="1346"/>
      <c r="BO125" s="1346"/>
      <c r="BP125" s="1346"/>
      <c r="BQ125" s="1346"/>
      <c r="BR125" s="1346"/>
      <c r="BS125" s="1346"/>
      <c r="BT125" s="1346"/>
      <c r="BU125" s="1346"/>
      <c r="BV125" s="1346"/>
      <c r="BW125" s="1346"/>
      <c r="BX125" s="1346"/>
      <c r="BY125" s="1346"/>
      <c r="BZ125" s="1346"/>
      <c r="CA125" s="1346"/>
      <c r="CB125" s="1346"/>
      <c r="CC125" s="1378"/>
    </row>
    <row r="126" spans="1:81">
      <c r="A126" s="584"/>
      <c r="B126" s="1378"/>
      <c r="C126" s="1379"/>
      <c r="D126" s="1379"/>
      <c r="E126" s="1379"/>
      <c r="F126" s="1380"/>
      <c r="G126" s="1379"/>
      <c r="H126" s="1379"/>
      <c r="I126" s="1379"/>
      <c r="J126" s="1381"/>
      <c r="K126" s="1420"/>
      <c r="L126" s="1346"/>
      <c r="M126" s="1346"/>
      <c r="N126" s="1346"/>
      <c r="O126" s="1346"/>
      <c r="P126" s="1346"/>
      <c r="Q126" s="1346"/>
      <c r="R126" s="1346"/>
      <c r="S126" s="1346"/>
      <c r="T126" s="1346"/>
      <c r="U126" s="1346"/>
      <c r="V126" s="1346"/>
      <c r="W126" s="1346"/>
      <c r="X126" s="1346"/>
      <c r="Y126" s="1346"/>
      <c r="Z126" s="1346"/>
      <c r="AA126" s="1346"/>
      <c r="AB126" s="1346"/>
      <c r="AC126" s="1346"/>
      <c r="AD126" s="1346"/>
      <c r="AE126" s="1346"/>
      <c r="AF126" s="1346"/>
      <c r="AG126" s="1346"/>
      <c r="AH126" s="1346"/>
      <c r="AI126" s="1346"/>
      <c r="AJ126" s="1346"/>
      <c r="AK126" s="1346"/>
      <c r="AL126" s="1346"/>
      <c r="AM126" s="1346"/>
      <c r="AN126" s="1346"/>
      <c r="AO126" s="1346"/>
      <c r="AP126" s="1346"/>
      <c r="AQ126" s="1346"/>
      <c r="AR126" s="1346"/>
      <c r="AS126" s="1346"/>
      <c r="AT126" s="1346"/>
      <c r="AU126" s="1346"/>
      <c r="AV126" s="1346"/>
      <c r="AW126" s="1346"/>
      <c r="AX126" s="1346"/>
      <c r="AY126" s="1346"/>
      <c r="AZ126" s="1346"/>
      <c r="BA126" s="1346"/>
      <c r="BB126" s="1346"/>
      <c r="BC126" s="1346"/>
      <c r="BD126" s="1346"/>
      <c r="BE126" s="1346"/>
      <c r="BF126" s="1346"/>
      <c r="BG126" s="1346"/>
      <c r="BH126" s="1346"/>
      <c r="BI126" s="1346"/>
      <c r="BJ126" s="1346"/>
      <c r="BK126" s="1346"/>
      <c r="BL126" s="1346"/>
      <c r="BM126" s="1346"/>
      <c r="BN126" s="1346"/>
      <c r="BO126" s="1346"/>
      <c r="BP126" s="1346"/>
      <c r="BQ126" s="1346"/>
      <c r="BR126" s="1346"/>
      <c r="BS126" s="1346"/>
      <c r="BT126" s="1346"/>
      <c r="BU126" s="1346"/>
      <c r="BV126" s="1346"/>
      <c r="BW126" s="1346"/>
      <c r="BX126" s="1346"/>
      <c r="BY126" s="1346"/>
      <c r="BZ126" s="1346"/>
      <c r="CA126" s="1346"/>
      <c r="CB126" s="1346"/>
      <c r="CC126" s="1378"/>
    </row>
    <row r="129" spans="6:11">
      <c r="F129" s="1379"/>
      <c r="G129" s="927"/>
      <c r="H129" s="927"/>
      <c r="I129" s="927"/>
      <c r="J129" s="927"/>
      <c r="K129" s="927"/>
    </row>
    <row r="130" spans="6:11">
      <c r="F130" s="927"/>
      <c r="G130" s="927"/>
      <c r="H130" s="927"/>
      <c r="I130" s="927"/>
      <c r="J130" s="927"/>
      <c r="K130" s="927"/>
    </row>
    <row r="131" spans="6:11">
      <c r="F131" s="927"/>
      <c r="G131" s="927"/>
      <c r="H131" s="927"/>
      <c r="I131" s="927"/>
      <c r="J131" s="927"/>
      <c r="K131" s="927"/>
    </row>
  </sheetData>
  <sheetProtection algorithmName="SHA-512" hashValue="qlcdHniDAZobw+5Y9vWsGrDPyMuJKHsfczlA2GUaOmodEIDyU5wN11m61cFATBIjeRPs8BDLalPLzqw1mezsdQ==" saltValue="7njgkRuzcICChc6bDqbBUA==" spinCount="100000" sheet="1" objects="1" scenarios="1"/>
  <mergeCells count="48">
    <mergeCell ref="C33:K33"/>
    <mergeCell ref="C34:K34"/>
    <mergeCell ref="C35:K35"/>
    <mergeCell ref="C36:K36"/>
    <mergeCell ref="C37:K37"/>
    <mergeCell ref="C38:K38"/>
    <mergeCell ref="C39:K39"/>
    <mergeCell ref="F95:G95"/>
    <mergeCell ref="F112:L112"/>
    <mergeCell ref="F24:G24"/>
    <mergeCell ref="C27:K27"/>
    <mergeCell ref="C28:K28"/>
    <mergeCell ref="C29:K29"/>
    <mergeCell ref="C30:K30"/>
    <mergeCell ref="C31:K31"/>
    <mergeCell ref="C32:K32"/>
    <mergeCell ref="C40:K40"/>
    <mergeCell ref="C41:K41"/>
    <mergeCell ref="C42:K42"/>
    <mergeCell ref="C43:K43"/>
    <mergeCell ref="C44:K44"/>
    <mergeCell ref="C82:K82"/>
    <mergeCell ref="C83:K83"/>
    <mergeCell ref="C45:K45"/>
    <mergeCell ref="C79:K79"/>
    <mergeCell ref="C80:K80"/>
    <mergeCell ref="C46:K46"/>
    <mergeCell ref="C47:K47"/>
    <mergeCell ref="A48:K48"/>
    <mergeCell ref="F70:G70"/>
    <mergeCell ref="C73:K73"/>
    <mergeCell ref="C74:K74"/>
    <mergeCell ref="C84:K84"/>
    <mergeCell ref="C85:K85"/>
    <mergeCell ref="A112:E112"/>
    <mergeCell ref="A1:K1"/>
    <mergeCell ref="C90:K90"/>
    <mergeCell ref="C91:K91"/>
    <mergeCell ref="C92:K92"/>
    <mergeCell ref="C86:K86"/>
    <mergeCell ref="C75:K75"/>
    <mergeCell ref="C76:K76"/>
    <mergeCell ref="C77:K77"/>
    <mergeCell ref="C78:K78"/>
    <mergeCell ref="C87:K87"/>
    <mergeCell ref="C88:K88"/>
    <mergeCell ref="C81:K81"/>
    <mergeCell ref="C89:K89"/>
  </mergeCells>
  <phoneticPr fontId="53" type="noConversion"/>
  <dataValidations xWindow="813" yWindow="623" count="47">
    <dataValidation allowBlank="1" showInputMessage="1" showErrorMessage="1" promptTitle="Operating/ Technical Assistance" prompt="Enter any funds that the non-profit sponsor will use to cover their costs outside of the project budget. This value should not exceed 10% of the Total Donations Amount." sqref="I109" xr:uid="{00000000-0002-0000-0600-000000000000}"/>
    <dataValidation allowBlank="1" showInputMessage="1" showErrorMessage="1" promptTitle="Total Equity Generated" prompt="This is the total equity / resources that are available for the project. This amount less any amount used for Operating/ Technical assistance will appear as a source of funds (Illinois Donations)." sqref="I108" xr:uid="{00000000-0002-0000-0600-000001000000}"/>
    <dataValidation allowBlank="1" showInputMessage="1" showErrorMessage="1" promptTitle="Pay-In Rate" prompt="If the credits will be sold to a third party, enter the price per credit this third party will pay." sqref="H95:H108" xr:uid="{00000000-0002-0000-0600-000002000000}"/>
    <dataValidation type="list" allowBlank="1" showInputMessage="1" showErrorMessage="1" promptTitle="Gov't Agency" prompt="Select one of the agencies from the list._x000a_" sqref="L36 C9:C13 C55:C59" xr:uid="{00000000-0002-0000-0600-000003000000}">
      <formula1>GovtLenders</formula1>
    </dataValidation>
    <dataValidation allowBlank="1" showInputMessage="1" showErrorMessage="1" promptTitle="Maximum Credits" prompt="The maximum number of donation credits is 50% of the donation amount." sqref="E96:E107" xr:uid="{00000000-0002-0000-0600-000004000000}"/>
    <dataValidation allowBlank="1" showInputMessage="1" showErrorMessage="1" promptTitle="Credits Allocated" prompt="Enter the number of credits to be allocated by DOH &amp; IHDA. The total credits should not exceed 50% of the total donations. " sqref="F96:G107" xr:uid="{00000000-0002-0000-0600-000005000000}"/>
    <dataValidation allowBlank="1" sqref="B67:B69 B8:B16 B21:B23 B55:B62 C14" xr:uid="{00000000-0002-0000-0600-000006000000}"/>
    <dataValidation type="list" allowBlank="1" sqref="A73:A92 A27:A47" xr:uid="{00000000-0002-0000-0600-000007000000}">
      <formula1>lien</formula1>
    </dataValidation>
    <dataValidation allowBlank="1" showInputMessage="1" showErrorMessage="1" promptTitle="Construction Loan Term" prompt="The loan term is defaulted to the Construction Period (entered on Setup Tab) + 4 months. This date can be overwritten." sqref="F3:F20" xr:uid="{00000000-0002-0000-0600-000008000000}"/>
    <dataValidation allowBlank="1" showInputMessage="1" showErrorMessage="1" promptTitle="Construction Loan End Date" prompt="The date is calculated as the Construction Loan Closing Date (entered on the Setup tab) + the Loan Term (Mos)." sqref="G3:G20" xr:uid="{00000000-0002-0000-0600-000009000000}"/>
    <dataValidation allowBlank="1" showInputMessage="1" showErrorMessage="1" promptTitle="Total Interest Payments" prompt="Interest payments are estimated assuming 75% of the loan is outstanding for the entire construction term." sqref="I3:I8" xr:uid="{00000000-0002-0000-0600-00000A000000}"/>
    <dataValidation allowBlank="1" showInputMessage="1" showErrorMessage="1" promptTitle="Loan Amount" prompt="The amount is defaulted to the same value used as the construction amount." sqref="D50:D54 E3:E24 E50:E70" xr:uid="{00000000-0002-0000-0600-00000B000000}"/>
    <dataValidation allowBlank="1" showInputMessage="1" showErrorMessage="1" promptTitle="Private Loan #1" prompt="The loan amount is defaulted to be calculated based on a 1.15 Debt Coverage Ratio but can be overwritten." sqref="D3" xr:uid="{00000000-0002-0000-0600-00000C000000}"/>
    <dataValidation allowBlank="1" showInputMessage="1" showErrorMessage="1" promptTitle="Permanent Initial Interest Rate" prompt="The rate is defaulted to be the same as the Average Construction Period Rate, but can be overwritten." sqref="I50:I61" xr:uid="{00000000-0002-0000-0600-00000D000000}"/>
    <dataValidation type="list" allowBlank="1" showInputMessage="1" showErrorMessage="1" promptTitle="Select from the List" prompt="Select the type of donation from the drop down list." sqref="C96:C107" xr:uid="{00000000-0002-0000-0600-00000E000000}">
      <formula1>DonationType</formula1>
    </dataValidation>
    <dataValidation allowBlank="1" showInputMessage="1" showErrorMessage="1" promptTitle="Donor Name" prompt="Enter the name of the anticipated/ actual donor. " sqref="B96:B107" xr:uid="{00000000-0002-0000-0600-00000F000000}"/>
    <dataValidation allowBlank="1" showInputMessage="1" showErrorMessage="1" promptTitle="Illinois Donors" prompt="The Net Donations (cell D110) in the IAHTC section is the value that will appear here. It cannot be overwritten." sqref="D60 D14" xr:uid="{00000000-0002-0000-0600-000010000000}"/>
    <dataValidation allowBlank="1" showInputMessage="1" showErrorMessage="1" promptTitle="Donation Amount" prompt="Enter the anticipated/ actual amount of the donation." sqref="D96:D107" xr:uid="{00000000-0002-0000-0600-000011000000}"/>
    <dataValidation allowBlank="1" showInputMessage="1" promptTitle="Grant Names" prompt="Grant names are defaulted to the name entered in the Construction Source of Funds section." sqref="B63:B66" xr:uid="{00000000-0002-0000-0600-000012000000}"/>
    <dataValidation allowBlank="1" showInputMessage="1" promptTitle="Names" prompt="The names for each Source Type are entered in the Construction Sources of Funds section, above." sqref="B50:B54" xr:uid="{00000000-0002-0000-0600-000013000000}"/>
    <dataValidation allowBlank="1" showInputMessage="1" showErrorMessage="1" promptTitle="Developer Name" prompt="The developer listed on the Setup tab is defaulted here." sqref="C21" xr:uid="{00000000-0002-0000-0600-000014000000}"/>
    <dataValidation allowBlank="1" showInputMessage="1" showErrorMessage="1" promptTitle="Permanent Loan Amount" prompt="The permanent loan amount for these sources is the same as the construction loan amount." sqref="D55:D59 D61:D66" xr:uid="{00000000-0002-0000-0600-000015000000}"/>
    <dataValidation allowBlank="1" showInputMessage="1" showErrorMessage="1" promptTitle="DDF/ GP Equity" prompt="The amount is the same as the Construction Period Amount." sqref="D67:D68" xr:uid="{00000000-0002-0000-0600-000016000000}"/>
    <dataValidation allowBlank="1" showInputMessage="1" showErrorMessage="1" promptTitle="Tax Credit Equity" prompt="The equity amount is calculated on the LIHTC&amp;BLDG tab and can only be overwritten there or on the Setup tab." sqref="D69" xr:uid="{00000000-0002-0000-0600-000017000000}"/>
    <dataValidation allowBlank="1" showInputMessage="1" showErrorMessage="1" promptTitle="Tax Credit Equity - Construction" prompt="The construction equity amount is the total equity calculated on the LIHTC&amp;BLDGs tab less the Equity Bridge Loan amount, if any." sqref="D23" xr:uid="{00000000-0002-0000-0600-000018000000}"/>
    <dataValidation allowBlank="1" showInputMessage="1" promptTitle="Rename Loan/ Grants" prompt="Private Loans, TE Bonds, and Grants can be renamed here. The same name will be used for the Permanent Source Type name." sqref="B17:B20 B3:B7" xr:uid="{00000000-0002-0000-0600-000019000000}"/>
    <dataValidation type="list" allowBlank="1" showInputMessage="1" showErrorMessage="1" promptTitle="Good &amp; Bad funds" prompt="Select if the loan/ grant amount must be backed out of basis for any reason." sqref="J3:J9 J13:J22" xr:uid="{00000000-0002-0000-0600-00001A000000}">
      <formula1>GoodBad</formula1>
    </dataValidation>
    <dataValidation allowBlank="1" showInputMessage="1" showErrorMessage="1" promptTitle="Basis Reduction" prompt="If the fund is identified as &quot;Bad&quot;, the reduction will equal the amount of the loan. The allocation between Acquisition and Rehab basis is made on the TaxCreditCalc tab." sqref="K3:K23" xr:uid="{00000000-0002-0000-0600-00001B000000}"/>
    <dataValidation type="list" allowBlank="1" showInputMessage="1" showErrorMessage="1" promptTitle="ARC, HOME &amp; HOPE VI" prompt="The Good/ Bad defaults are hard coded and cannot be overwritten." sqref="J11" xr:uid="{00000000-0002-0000-0600-00001C000000}">
      <formula1>GoodBad</formula1>
    </dataValidation>
    <dataValidation allowBlank="1" showInputMessage="1" showErrorMessage="1" promptTitle="DCR" prompt="This is the cumulative DCR, taking into account this debt and all debt above it." sqref="K50:K61" xr:uid="{00000000-0002-0000-0600-00001D000000}"/>
    <dataValidation allowBlank="1" showInputMessage="1" showErrorMessage="1" promptTitle="Grand Total DCR" prompt="This is the project's actual DCR and takes all payments into consideration." sqref="K70" xr:uid="{00000000-0002-0000-0600-00001E000000}"/>
    <dataValidation allowBlank="1" showInputMessage="1" showErrorMessage="1" promptTitle="ARC Loan Amount" prompt="The ARC Loan Amount is set in Cell F107 on the ARC worksheet." sqref="D11" xr:uid="{00000000-0002-0000-0600-00001F000000}"/>
    <dataValidation type="list" allowBlank="1" showInputMessage="1" promptTitle="Lien -- Permanent Loans" prompt="Permanent Lien position is defaulted to the same as the Construction Lien, but can be overwritten." sqref="A50:A69" xr:uid="{00000000-0002-0000-0600-000020000000}">
      <formula1>lien</formula1>
    </dataValidation>
    <dataValidation type="list" allowBlank="1" showInputMessage="1" promptTitle="Lien - Construction" prompt="Enter the lien position/ # that you want the sources of funds to appear in for the printed reports." sqref="A3:A23" xr:uid="{00000000-0002-0000-0600-000021000000}">
      <formula1>lien</formula1>
    </dataValidation>
    <dataValidation allowBlank="1" showInputMessage="1" showErrorMessage="1" promptTitle="Definition - Good or Bad" prompt="To reduce the fund amount from LIHTC basis, select &quot;Bad&quot;." sqref="J2" xr:uid="{00000000-0002-0000-0600-000022000000}"/>
    <dataValidation allowBlank="1" showInputMessage="1" promptTitle="Lender Selection" prompt="The lender for each loan is the same as entered in the Construction Sources section, above." sqref="C50:C54" xr:uid="{00000000-0002-0000-0600-000023000000}"/>
    <dataValidation type="list" allowBlank="1" showInputMessage="1" showErrorMessage="1" promptTitle="HOME/ ARC" prompt="If the 9% LIHTC is taken and either 40% of the units are not at 50% AMI or the 130% Basis Boost is taken and the AFR rate entered on the Setup Tab (field) is not accruing on the loan, then the HOME/ ARC funds are set to &quot;Bad&quot;." sqref="J10" xr:uid="{00000000-0002-0000-0600-000024000000}">
      <formula1>GoodBad</formula1>
    </dataValidation>
    <dataValidation type="list" allowBlank="1" showInputMessage="1" showErrorMessage="1" promptTitle="HOPE VI" prompt="HOPE VI funds are &quot;Bad&quot; if the 9% credit is taken unless AFR interest rate is paid on the permanent funds. The AFR rate is set on the Setup Tab, field K34." sqref="J12" xr:uid="{00000000-0002-0000-0600-000025000000}">
      <formula1>GoodBad</formula1>
    </dataValidation>
    <dataValidation allowBlank="1" showInputMessage="1" showErrorMessage="1" promptTitle="Equity Generated" prompt="This is the amount of funds/ resources used in the Project Budget._x000a_It is defaulted to be the Donation Amount, or, if there is a pay-in rate, it is defaulted to be the Credits Applied For * the Pay-In Rate." sqref="I95:I107" xr:uid="{00000000-0002-0000-0600-000026000000}"/>
    <dataValidation allowBlank="1" showInputMessage="1" showErrorMessage="1" promptTitle="Net Donations Used in Project" prompt="This is the amount that will count as a SOURCE OF FUNDS in the line item &quot;Illinois Donations&quot;." sqref="B110:I110" xr:uid="{00000000-0002-0000-0600-000027000000}"/>
    <dataValidation allowBlank="1" showInputMessage="1" showErrorMessage="1" promptTitle="Net Equity Used in Project" prompt="This is the amount that will count as a SOURCE OF FUNDS in the line item &quot;Illinois Donations&quot;." sqref="A110" xr:uid="{00000000-0002-0000-0600-000028000000}"/>
    <dataValidation allowBlank="1" showInputMessage="1" showErrorMessage="1" promptTitle="Total Donations" prompt="This is the sum of all donations made to the project." sqref="D108" xr:uid="{00000000-0002-0000-0600-000029000000}"/>
    <dataValidation allowBlank="1" showInputMessage="1" showErrorMessage="1" promptTitle="Total Maximum Credits" prompt="This is 50% of the total donations entered and is the maximum number of credits allowed under the program." sqref="E108" xr:uid="{00000000-0002-0000-0600-00002A000000}"/>
    <dataValidation allowBlank="1" showInputMessage="1" showErrorMessage="1" promptTitle="Total DOH Allocated IAHTCs" prompt="This is the total number of donation credits that will be awarded by DOH." sqref="F108" xr:uid="{00000000-0002-0000-0600-00002B000000}"/>
    <dataValidation allowBlank="1" showInputMessage="1" showErrorMessage="1" promptTitle="Total IHDA Credits" prompt="This is the total number of donation credits that will be awarded by IHDA." sqref="G108" xr:uid="{00000000-0002-0000-0600-00002C000000}"/>
    <dataValidation allowBlank="1" showInputMessage="1" showErrorMessage="1" promptTitle="Total Interest Payments" prompt="Soft loan interest payments are not defaulted." sqref="I9:I15" xr:uid="{00000000-0002-0000-0600-00002D000000}"/>
    <dataValidation allowBlank="1" showErrorMessage="1" promptTitle="DCR" prompt="This is the cumulative DCR, taking into account this debt and all debt above it." sqref="K62:K69" xr:uid="{00000000-0002-0000-0600-00002E000000}"/>
  </dataValidations>
  <pageMargins left="0.47" right="0.5" top="0.55000000000000004" bottom="0.5" header="0.25" footer="0.25"/>
  <pageSetup scale="57" orientation="landscape" horizontalDpi="1200" verticalDpi="300" r:id="rId1"/>
  <headerFooter alignWithMargins="0">
    <oddHeader>&amp;C&amp;"Arial,Bold"&amp;12Summary of Sources of Funds</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indexed="34"/>
    <pageSetUpPr fitToPage="1"/>
  </sheetPr>
  <dimension ref="A1:CQ118"/>
  <sheetViews>
    <sheetView workbookViewId="0">
      <selection activeCell="H114" sqref="H114"/>
    </sheetView>
  </sheetViews>
  <sheetFormatPr defaultColWidth="9.140625" defaultRowHeight="12"/>
  <cols>
    <col min="1" max="1" width="3.28515625" style="342" customWidth="1"/>
    <col min="2" max="2" width="11.42578125" style="342" customWidth="1"/>
    <col min="3" max="3" width="7" style="343" customWidth="1"/>
    <col min="4" max="4" width="8.42578125" style="344" customWidth="1"/>
    <col min="5" max="5" width="8.140625" style="344" customWidth="1"/>
    <col min="6" max="6" width="20.28515625" style="345" customWidth="1"/>
    <col min="7" max="7" width="9.28515625" style="344" bestFit="1" customWidth="1"/>
    <col min="8" max="8" width="12" style="344" customWidth="1"/>
    <col min="9" max="9" width="12" style="342" customWidth="1"/>
    <col min="10" max="16384" width="9.140625" style="342"/>
  </cols>
  <sheetData>
    <row r="1" spans="1:95" s="339" customFormat="1" ht="14.25">
      <c r="A1" s="1955" t="str">
        <f>Deal_Overview!$D$2</f>
        <v>Enter Project Name Here</v>
      </c>
      <c r="B1" s="1955"/>
      <c r="C1" s="1955"/>
      <c r="D1" s="399"/>
      <c r="E1" s="399"/>
      <c r="F1" s="399"/>
      <c r="G1" s="1421"/>
      <c r="H1" s="1804"/>
      <c r="I1" s="1422"/>
      <c r="J1" s="340"/>
      <c r="K1" s="340"/>
      <c r="L1" s="340"/>
      <c r="M1" s="340"/>
      <c r="N1" s="340"/>
      <c r="O1" s="340"/>
      <c r="P1" s="1423"/>
      <c r="Q1" s="340"/>
      <c r="R1" s="340"/>
      <c r="S1" s="1424"/>
      <c r="T1" s="1425"/>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row>
    <row r="2" spans="1:95" ht="11.25" customHeight="1">
      <c r="A2" s="366"/>
      <c r="B2" s="366"/>
      <c r="C2" s="1426"/>
      <c r="D2" s="1427"/>
      <c r="E2" s="1427"/>
      <c r="F2" s="1805"/>
      <c r="G2" s="1427"/>
      <c r="H2" s="1427"/>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6"/>
      <c r="BK2" s="366"/>
      <c r="BL2" s="366"/>
      <c r="BM2" s="366"/>
      <c r="BN2" s="366"/>
      <c r="BO2" s="366"/>
      <c r="BP2" s="366"/>
      <c r="BQ2" s="366"/>
      <c r="BR2" s="366"/>
      <c r="BS2" s="366"/>
      <c r="BT2" s="366"/>
      <c r="BU2" s="366"/>
      <c r="BV2" s="366"/>
      <c r="BW2" s="366"/>
      <c r="BX2" s="366"/>
      <c r="BY2" s="366"/>
      <c r="BZ2" s="366"/>
      <c r="CA2" s="366"/>
      <c r="CB2" s="366"/>
      <c r="CC2" s="366"/>
      <c r="CD2" s="366"/>
      <c r="CE2" s="366"/>
      <c r="CF2" s="366"/>
      <c r="CG2" s="366"/>
      <c r="CH2" s="366"/>
      <c r="CI2" s="366"/>
      <c r="CJ2" s="366"/>
      <c r="CK2" s="366"/>
      <c r="CL2" s="366"/>
      <c r="CM2" s="366"/>
      <c r="CN2" s="366"/>
      <c r="CO2" s="366"/>
      <c r="CP2" s="366"/>
      <c r="CQ2" s="366"/>
    </row>
    <row r="3" spans="1:95">
      <c r="A3" s="371" t="s">
        <v>709</v>
      </c>
      <c r="B3" s="371"/>
      <c r="C3" s="1426"/>
      <c r="D3" s="1427"/>
      <c r="E3" s="1427"/>
      <c r="F3" s="1805"/>
      <c r="G3" s="366"/>
      <c r="H3" s="1427"/>
      <c r="I3" s="366" t="s">
        <v>180</v>
      </c>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c r="CP3" s="366"/>
      <c r="CQ3" s="366"/>
    </row>
    <row r="4" spans="1:95">
      <c r="A4" s="371"/>
      <c r="B4" s="371"/>
      <c r="C4" s="1426"/>
      <c r="D4" s="1427"/>
      <c r="E4" s="1427"/>
      <c r="F4" s="346" t="s">
        <v>710</v>
      </c>
      <c r="G4" s="1427"/>
      <c r="H4" s="1427"/>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c r="CP4" s="366"/>
      <c r="CQ4" s="366"/>
    </row>
    <row r="5" spans="1:95">
      <c r="A5" s="366"/>
      <c r="B5" s="1428" t="s">
        <v>711</v>
      </c>
      <c r="C5" s="1426"/>
      <c r="D5" s="1429"/>
      <c r="E5" s="1429"/>
      <c r="F5" s="1430">
        <v>0.6</v>
      </c>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c r="CP5" s="366"/>
      <c r="CQ5" s="366"/>
    </row>
    <row r="6" spans="1:95">
      <c r="A6" s="366"/>
      <c r="B6" s="1428" t="s">
        <v>712</v>
      </c>
      <c r="C6" s="347">
        <f>'Units&amp;Income'!H94</f>
        <v>0</v>
      </c>
      <c r="D6" s="354" t="s">
        <v>421</v>
      </c>
      <c r="E6" s="366"/>
      <c r="F6" s="1426">
        <f>'Units&amp;Income'!AV94</f>
        <v>0</v>
      </c>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c r="CP6" s="366"/>
      <c r="CQ6" s="366"/>
    </row>
    <row r="7" spans="1:95">
      <c r="A7" s="366"/>
      <c r="B7" s="1431" t="s">
        <v>713</v>
      </c>
      <c r="C7" s="355"/>
      <c r="D7" s="1432"/>
      <c r="E7" s="1432"/>
      <c r="F7" s="348" t="e">
        <f>C6/F6</f>
        <v>#DIV/0!</v>
      </c>
      <c r="G7" s="712" t="e">
        <f>IF(F7&gt;1/3,"WARNING - ARC UNITS EXCEED 1/3 OF ALL UNITS", "")</f>
        <v>#DIV/0!</v>
      </c>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row>
    <row r="8" spans="1:95">
      <c r="A8" s="366"/>
      <c r="B8" s="349" t="s">
        <v>714</v>
      </c>
      <c r="C8" s="350"/>
      <c r="D8" s="351"/>
      <c r="E8" s="352"/>
      <c r="F8" s="353">
        <f>I97</f>
        <v>0</v>
      </c>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c r="CP8" s="366"/>
      <c r="CQ8" s="366"/>
    </row>
    <row r="9" spans="1:95" ht="8.4499999999999993" customHeight="1">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c r="CP9" s="366"/>
      <c r="CQ9" s="366"/>
    </row>
    <row r="10" spans="1:95" hidden="1">
      <c r="A10" s="366"/>
      <c r="B10" s="354" t="s">
        <v>715</v>
      </c>
      <c r="C10" s="350"/>
      <c r="D10" s="351"/>
      <c r="E10" s="352"/>
      <c r="F10" s="1433">
        <f>Op_Costs!G62</f>
        <v>0</v>
      </c>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c r="CP10" s="366"/>
      <c r="CQ10" s="366"/>
    </row>
    <row r="11" spans="1:95" hidden="1">
      <c r="A11" s="366"/>
      <c r="B11" s="355" t="s">
        <v>716</v>
      </c>
      <c r="C11" s="356"/>
      <c r="D11" s="357"/>
      <c r="E11" s="356"/>
      <c r="F11" s="1434" t="e">
        <f>F10+F8*Op_Costs!G14/Deal_Overview!U34</f>
        <v>#DIV/0!</v>
      </c>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c r="CP11" s="366"/>
      <c r="CQ11" s="366"/>
    </row>
    <row r="12" spans="1:95" hidden="1">
      <c r="A12" s="366"/>
      <c r="B12" s="358" t="s">
        <v>717</v>
      </c>
      <c r="C12" s="350"/>
      <c r="D12" s="351"/>
      <c r="E12" s="352"/>
      <c r="F12" s="359" t="e">
        <f>F10-F11</f>
        <v>#DIV/0!</v>
      </c>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c r="CP12" s="366"/>
      <c r="CQ12" s="366"/>
    </row>
    <row r="13" spans="1:95" ht="7.5" hidden="1" customHeight="1">
      <c r="A13" s="366"/>
      <c r="B13" s="1435"/>
      <c r="C13" s="350"/>
      <c r="D13" s="351"/>
      <c r="E13" s="352"/>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c r="CP13" s="366"/>
      <c r="CQ13" s="366"/>
    </row>
    <row r="14" spans="1:95" s="361" customFormat="1" hidden="1">
      <c r="A14" s="360"/>
      <c r="B14" s="350" t="s">
        <v>718</v>
      </c>
      <c r="E14" s="362" t="str">
        <f>IF(F100=Sources!B50,Sources!K50, IF(F100=Sources!B51,Sources!K51, IF(F100=Sources!B52,Sources!K52, IF(F100=Sources!B53,Sources!K53, IF(F100=Sources!B54,Sources!K54,0)))))</f>
        <v/>
      </c>
      <c r="F14" s="363" t="e">
        <f>IF(E14="",ROUND((F8+F12)/1.2,0),ROUND((F8+F12)/E14,0))</f>
        <v>#DIV/0!</v>
      </c>
      <c r="G14" s="346"/>
      <c r="I14" s="364"/>
    </row>
    <row r="15" spans="1:95" s="341" customFormat="1" hidden="1">
      <c r="A15" s="21"/>
      <c r="B15" s="21"/>
      <c r="C15" s="354"/>
      <c r="D15" s="1429"/>
      <c r="E15" s="21"/>
      <c r="F15" s="1436"/>
      <c r="G15" s="417"/>
      <c r="H15" s="1425"/>
      <c r="I15" s="1437"/>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row>
    <row r="16" spans="1:95" s="365" customFormat="1" ht="37.5" customHeight="1" thickBot="1">
      <c r="A16" s="1956" t="s">
        <v>719</v>
      </c>
      <c r="B16" s="1956"/>
      <c r="C16" s="1794" t="s">
        <v>422</v>
      </c>
      <c r="D16" s="1438" t="s">
        <v>429</v>
      </c>
      <c r="E16" s="1438" t="s">
        <v>720</v>
      </c>
      <c r="F16" s="1439" t="s">
        <v>721</v>
      </c>
      <c r="G16" s="1438" t="s">
        <v>722</v>
      </c>
      <c r="H16" s="1438" t="s">
        <v>723</v>
      </c>
      <c r="I16" s="1438" t="s">
        <v>724</v>
      </c>
      <c r="J16" s="1440"/>
      <c r="K16" s="1440"/>
      <c r="L16" s="1440"/>
      <c r="M16" s="1440"/>
      <c r="N16" s="1440"/>
      <c r="O16" s="1440"/>
      <c r="P16" s="1440"/>
      <c r="Q16" s="1440"/>
      <c r="R16" s="1440"/>
      <c r="S16" s="1440"/>
      <c r="T16" s="1440"/>
      <c r="U16" s="1440"/>
      <c r="V16" s="1440"/>
      <c r="W16" s="1440"/>
      <c r="X16" s="1440"/>
      <c r="Y16" s="1440"/>
      <c r="Z16" s="1440"/>
      <c r="AA16" s="1440"/>
      <c r="AB16" s="1440"/>
      <c r="AC16" s="1440"/>
      <c r="AD16" s="1440"/>
      <c r="AE16" s="1440"/>
      <c r="AF16" s="1440"/>
      <c r="AG16" s="1440"/>
      <c r="AH16" s="1440"/>
      <c r="AI16" s="1440"/>
      <c r="AJ16" s="1440"/>
      <c r="AK16" s="1440"/>
      <c r="AL16" s="1440"/>
      <c r="AM16" s="1440"/>
      <c r="AN16" s="1440"/>
      <c r="AO16" s="1440"/>
      <c r="AP16" s="1440"/>
      <c r="AQ16" s="1440"/>
      <c r="AR16" s="1440"/>
      <c r="AS16" s="1440"/>
      <c r="AT16" s="1440"/>
      <c r="AU16" s="1440"/>
      <c r="AV16" s="1440"/>
      <c r="AW16" s="1440"/>
      <c r="AX16" s="1440"/>
      <c r="AY16" s="1440"/>
      <c r="AZ16" s="1440"/>
      <c r="BA16" s="1440"/>
      <c r="BB16" s="1440"/>
      <c r="BC16" s="1440"/>
      <c r="BD16" s="1440"/>
      <c r="BE16" s="1440"/>
      <c r="BF16" s="1440"/>
      <c r="BG16" s="1440"/>
      <c r="BH16" s="1440"/>
      <c r="BI16" s="1440"/>
      <c r="BJ16" s="1440"/>
      <c r="BK16" s="1440"/>
      <c r="BL16" s="1440"/>
      <c r="BM16" s="1440"/>
      <c r="BN16" s="1440"/>
      <c r="BO16" s="1440"/>
      <c r="BP16" s="1440"/>
      <c r="BQ16" s="1440"/>
      <c r="BR16" s="1440"/>
      <c r="BS16" s="1440"/>
      <c r="BT16" s="1440"/>
      <c r="BU16" s="1440"/>
      <c r="BV16" s="1440"/>
      <c r="BW16" s="1440"/>
      <c r="BX16" s="1440"/>
      <c r="BY16" s="1440"/>
      <c r="BZ16" s="1440"/>
      <c r="CA16" s="1440"/>
      <c r="CB16" s="1440"/>
      <c r="CC16" s="1440"/>
      <c r="CD16" s="1440"/>
      <c r="CE16" s="1440"/>
      <c r="CF16" s="1440"/>
      <c r="CG16" s="1440"/>
      <c r="CH16" s="1440"/>
      <c r="CI16" s="1440"/>
      <c r="CJ16" s="1440"/>
      <c r="CK16" s="1440"/>
      <c r="CL16" s="1440"/>
      <c r="CM16" s="1440"/>
      <c r="CN16" s="1440"/>
      <c r="CO16" s="1440"/>
      <c r="CP16" s="1440"/>
      <c r="CQ16" s="1440"/>
    </row>
    <row r="17" spans="1:9" hidden="1">
      <c r="A17" s="1953" t="str">
        <f>'Units&amp;Income'!B10</f>
        <v>Studio - A</v>
      </c>
      <c r="B17" s="1953"/>
      <c r="C17" s="1793">
        <f>'Units&amp;Income'!A10</f>
        <v>0</v>
      </c>
      <c r="D17" s="1441">
        <f>'Units&amp;Income'!H10</f>
        <v>0</v>
      </c>
      <c r="E17" s="1441">
        <f>'Units&amp;Income'!K10</f>
        <v>0</v>
      </c>
      <c r="F17" s="1442">
        <f>IF($F$5=30%,'Units&amp;Income'!K10,IF($F$5=40%,'Units&amp;Income'!R10,IF($F$5=50%,'Units&amp;Income'!Y10, IF($F$5=60%,'Units&amp;Income'!AF10, IF($F$5=80%,'Units&amp;Income'!AM10, 'Units&amp;Income'!AT10)))))</f>
        <v>0</v>
      </c>
      <c r="G17" s="1441">
        <f>IF(D17&gt;0,F17-E17,0)</f>
        <v>0</v>
      </c>
      <c r="H17" s="1441">
        <f>G17*D17</f>
        <v>0</v>
      </c>
      <c r="I17" s="1443">
        <f>H17*12</f>
        <v>0</v>
      </c>
    </row>
    <row r="18" spans="1:9" hidden="1">
      <c r="A18" s="1953" t="str">
        <f>'Units&amp;Income'!B11</f>
        <v>Studio - B</v>
      </c>
      <c r="B18" s="1953"/>
      <c r="C18" s="1793">
        <f>'Units&amp;Income'!A11</f>
        <v>0</v>
      </c>
      <c r="D18" s="1441">
        <f>'Units&amp;Income'!H11</f>
        <v>0</v>
      </c>
      <c r="E18" s="1441">
        <f>'Units&amp;Income'!K11</f>
        <v>0</v>
      </c>
      <c r="F18" s="1442">
        <f>IF($F$5=30%,'Units&amp;Income'!K11,IF($F$5=40%,'Units&amp;Income'!R11,IF($F$5=50%,'Units&amp;Income'!Y11, IF($F$5=60%,'Units&amp;Income'!AF11, IF($F$5=80%,'Units&amp;Income'!AM11, 'Units&amp;Income'!AT11)))))</f>
        <v>0</v>
      </c>
      <c r="G18" s="1441">
        <f t="shared" ref="G18:G29" si="0">IF(D18&gt;0,F18-E18,0)</f>
        <v>0</v>
      </c>
      <c r="H18" s="1441">
        <f t="shared" ref="H18:H29" si="1">G18*D18</f>
        <v>0</v>
      </c>
      <c r="I18" s="1443">
        <f t="shared" ref="I18:I42" si="2">H18*12</f>
        <v>0</v>
      </c>
    </row>
    <row r="19" spans="1:9" ht="12.75" hidden="1" thickBot="1">
      <c r="A19" s="1953" t="str">
        <f>'Units&amp;Income'!B12</f>
        <v>Studio - C</v>
      </c>
      <c r="B19" s="1953"/>
      <c r="C19" s="1793">
        <f>'Units&amp;Income'!A12</f>
        <v>0</v>
      </c>
      <c r="D19" s="1441">
        <f>'Units&amp;Income'!H12</f>
        <v>0</v>
      </c>
      <c r="E19" s="1441">
        <f>'Units&amp;Income'!K12</f>
        <v>0</v>
      </c>
      <c r="F19" s="1442">
        <f>IF($F$5=30%,'Units&amp;Income'!K12,IF($F$5=40%,'Units&amp;Income'!R12,IF($F$5=50%,'Units&amp;Income'!Y12, IF($F$5=60%,'Units&amp;Income'!AF12, IF($F$5=80%,'Units&amp;Income'!AM12, 'Units&amp;Income'!AT12)))))</f>
        <v>0</v>
      </c>
      <c r="G19" s="1441">
        <f t="shared" si="0"/>
        <v>0</v>
      </c>
      <c r="H19" s="1441">
        <f t="shared" si="1"/>
        <v>0</v>
      </c>
      <c r="I19" s="1443">
        <f t="shared" si="2"/>
        <v>0</v>
      </c>
    </row>
    <row r="20" spans="1:9" ht="12.75" hidden="1" thickBot="1">
      <c r="A20" s="1953" t="str">
        <f>'Units&amp;Income'!B13</f>
        <v>Studio - D</v>
      </c>
      <c r="B20" s="1953"/>
      <c r="C20" s="1793">
        <f>'Units&amp;Income'!A13</f>
        <v>0</v>
      </c>
      <c r="D20" s="1441">
        <f>'Units&amp;Income'!H13</f>
        <v>0</v>
      </c>
      <c r="E20" s="1441">
        <f>'Units&amp;Income'!K13</f>
        <v>0</v>
      </c>
      <c r="F20" s="1442">
        <f>IF($F$5=30%,'Units&amp;Income'!K13,IF($F$5=40%,'Units&amp;Income'!R13,IF($F$5=50%,'Units&amp;Income'!Y13, IF($F$5=60%,'Units&amp;Income'!AF13, IF($F$5=80%,'Units&amp;Income'!AM13, 'Units&amp;Income'!AT13)))))</f>
        <v>0</v>
      </c>
      <c r="G20" s="1441">
        <f t="shared" si="0"/>
        <v>0</v>
      </c>
      <c r="H20" s="1441">
        <f t="shared" si="1"/>
        <v>0</v>
      </c>
      <c r="I20" s="1443">
        <f t="shared" si="2"/>
        <v>0</v>
      </c>
    </row>
    <row r="21" spans="1:9" ht="12.75" hidden="1" thickBot="1">
      <c r="A21" s="1953" t="str">
        <f>'Units&amp;Income'!B14</f>
        <v>Studio - E</v>
      </c>
      <c r="B21" s="1953"/>
      <c r="C21" s="1793">
        <f>'Units&amp;Income'!A14</f>
        <v>0</v>
      </c>
      <c r="D21" s="1441">
        <f>'Units&amp;Income'!H14</f>
        <v>0</v>
      </c>
      <c r="E21" s="1441">
        <f>'Units&amp;Income'!K14</f>
        <v>0</v>
      </c>
      <c r="F21" s="1442">
        <f>IF($F$5=30%,'Units&amp;Income'!K14,IF($F$5=40%,'Units&amp;Income'!R14,IF($F$5=50%,'Units&amp;Income'!Y14, IF($F$5=60%,'Units&amp;Income'!AF14, IF($F$5=80%,'Units&amp;Income'!AM14, 'Units&amp;Income'!AT14)))))</f>
        <v>0</v>
      </c>
      <c r="G21" s="1441">
        <f t="shared" si="0"/>
        <v>0</v>
      </c>
      <c r="H21" s="1441">
        <f t="shared" si="1"/>
        <v>0</v>
      </c>
      <c r="I21" s="1443">
        <f t="shared" si="2"/>
        <v>0</v>
      </c>
    </row>
    <row r="22" spans="1:9" ht="12.75" hidden="1" thickBot="1">
      <c r="A22" s="1953" t="str">
        <f>'Units&amp;Income'!B15</f>
        <v>Studio - F</v>
      </c>
      <c r="B22" s="1953"/>
      <c r="C22" s="1793">
        <f>'Units&amp;Income'!A15</f>
        <v>0</v>
      </c>
      <c r="D22" s="1441">
        <f>'Units&amp;Income'!H15</f>
        <v>0</v>
      </c>
      <c r="E22" s="1441">
        <f>'Units&amp;Income'!K15</f>
        <v>0</v>
      </c>
      <c r="F22" s="1442">
        <f>IF($F$5=30%,'Units&amp;Income'!K15,IF($F$5=40%,'Units&amp;Income'!R15,IF($F$5=50%,'Units&amp;Income'!Y15, IF($F$5=60%,'Units&amp;Income'!AF15, IF($F$5=80%,'Units&amp;Income'!AM15, 'Units&amp;Income'!AT15)))))</f>
        <v>0</v>
      </c>
      <c r="G22" s="1441">
        <f t="shared" si="0"/>
        <v>0</v>
      </c>
      <c r="H22" s="1441">
        <f t="shared" si="1"/>
        <v>0</v>
      </c>
      <c r="I22" s="1443">
        <f t="shared" si="2"/>
        <v>0</v>
      </c>
    </row>
    <row r="23" spans="1:9" ht="12.75" hidden="1" thickBot="1">
      <c r="A23" s="1953" t="str">
        <f>'Units&amp;Income'!B16</f>
        <v>Studio - G</v>
      </c>
      <c r="B23" s="1953"/>
      <c r="C23" s="1793">
        <f>'Units&amp;Income'!A16</f>
        <v>0</v>
      </c>
      <c r="D23" s="1441">
        <f>'Units&amp;Income'!H16</f>
        <v>0</v>
      </c>
      <c r="E23" s="1441">
        <f>'Units&amp;Income'!K16</f>
        <v>0</v>
      </c>
      <c r="F23" s="1442">
        <f>IF($F$5=30%,'Units&amp;Income'!K16,IF($F$5=40%,'Units&amp;Income'!R16,IF($F$5=50%,'Units&amp;Income'!Y16, IF($F$5=60%,'Units&amp;Income'!AF16, IF($F$5=80%,'Units&amp;Income'!AM16, 'Units&amp;Income'!AT16)))))</f>
        <v>0</v>
      </c>
      <c r="G23" s="1441">
        <f t="shared" si="0"/>
        <v>0</v>
      </c>
      <c r="H23" s="1441">
        <f t="shared" si="1"/>
        <v>0</v>
      </c>
      <c r="I23" s="1443">
        <f t="shared" si="2"/>
        <v>0</v>
      </c>
    </row>
    <row r="24" spans="1:9" ht="12.75" hidden="1" thickBot="1">
      <c r="A24" s="1953" t="str">
        <f>'Units&amp;Income'!B17</f>
        <v>Studio - H</v>
      </c>
      <c r="B24" s="1953"/>
      <c r="C24" s="1793">
        <f>'Units&amp;Income'!A17</f>
        <v>0</v>
      </c>
      <c r="D24" s="1441">
        <f>'Units&amp;Income'!H17</f>
        <v>0</v>
      </c>
      <c r="E24" s="1441">
        <f>'Units&amp;Income'!K17</f>
        <v>0</v>
      </c>
      <c r="F24" s="1442">
        <f>IF($F$5=30%,'Units&amp;Income'!K17,IF($F$5=40%,'Units&amp;Income'!R17,IF($F$5=50%,'Units&amp;Income'!Y17, IF($F$5=60%,'Units&amp;Income'!AF17, IF($F$5=80%,'Units&amp;Income'!AM17, 'Units&amp;Income'!AT17)))))</f>
        <v>0</v>
      </c>
      <c r="G24" s="1441">
        <f t="shared" si="0"/>
        <v>0</v>
      </c>
      <c r="H24" s="1441">
        <f t="shared" si="1"/>
        <v>0</v>
      </c>
      <c r="I24" s="1443">
        <f t="shared" si="2"/>
        <v>0</v>
      </c>
    </row>
    <row r="25" spans="1:9" ht="12.75" hidden="1" thickBot="1">
      <c r="A25" s="1953" t="str">
        <f>'Units&amp;Income'!B18</f>
        <v>Studio - I</v>
      </c>
      <c r="B25" s="1953"/>
      <c r="C25" s="1793">
        <f>'Units&amp;Income'!A18</f>
        <v>0</v>
      </c>
      <c r="D25" s="1441">
        <f>'Units&amp;Income'!H18</f>
        <v>0</v>
      </c>
      <c r="E25" s="1441">
        <f>'Units&amp;Income'!K18</f>
        <v>0</v>
      </c>
      <c r="F25" s="1442">
        <f>IF($F$5=30%,'Units&amp;Income'!K18,IF($F$5=40%,'Units&amp;Income'!R18,IF($F$5=50%,'Units&amp;Income'!Y18, IF($F$5=60%,'Units&amp;Income'!AF18, IF($F$5=80%,'Units&amp;Income'!AM18, 'Units&amp;Income'!AT18)))))</f>
        <v>0</v>
      </c>
      <c r="G25" s="1441">
        <f t="shared" si="0"/>
        <v>0</v>
      </c>
      <c r="H25" s="1441">
        <f t="shared" si="1"/>
        <v>0</v>
      </c>
      <c r="I25" s="1443">
        <f t="shared" si="2"/>
        <v>0</v>
      </c>
    </row>
    <row r="26" spans="1:9" ht="12.75" hidden="1" thickBot="1">
      <c r="A26" s="1953" t="str">
        <f>'Units&amp;Income'!B19</f>
        <v>Studio - J</v>
      </c>
      <c r="B26" s="1953"/>
      <c r="C26" s="1793">
        <f>'Units&amp;Income'!A19</f>
        <v>0</v>
      </c>
      <c r="D26" s="1441">
        <f>'Units&amp;Income'!H19</f>
        <v>0</v>
      </c>
      <c r="E26" s="1441">
        <f>'Units&amp;Income'!K19</f>
        <v>0</v>
      </c>
      <c r="F26" s="1442">
        <f>IF($F$5=30%,'Units&amp;Income'!K19,IF($F$5=40%,'Units&amp;Income'!R19,IF($F$5=50%,'Units&amp;Income'!Y19, IF($F$5=60%,'Units&amp;Income'!AF19, IF($F$5=80%,'Units&amp;Income'!AM19, 'Units&amp;Income'!AT19)))))</f>
        <v>0</v>
      </c>
      <c r="G26" s="1441">
        <f t="shared" si="0"/>
        <v>0</v>
      </c>
      <c r="H26" s="1441">
        <f t="shared" si="1"/>
        <v>0</v>
      </c>
      <c r="I26" s="1443">
        <f t="shared" si="2"/>
        <v>0</v>
      </c>
    </row>
    <row r="27" spans="1:9" ht="12.75" hidden="1" thickBot="1">
      <c r="A27" s="1953" t="str">
        <f>'Units&amp;Income'!B20</f>
        <v>Studio - K</v>
      </c>
      <c r="B27" s="1953"/>
      <c r="C27" s="1793">
        <f>'Units&amp;Income'!A20</f>
        <v>0</v>
      </c>
      <c r="D27" s="1441">
        <f>'Units&amp;Income'!H20</f>
        <v>0</v>
      </c>
      <c r="E27" s="1441">
        <f>'Units&amp;Income'!K20</f>
        <v>0</v>
      </c>
      <c r="F27" s="1442">
        <f>IF($F$5=30%,'Units&amp;Income'!K20,IF($F$5=40%,'Units&amp;Income'!R20,IF($F$5=50%,'Units&amp;Income'!Y20, IF($F$5=60%,'Units&amp;Income'!AF20, IF($F$5=80%,'Units&amp;Income'!AM20, 'Units&amp;Income'!AT20)))))</f>
        <v>0</v>
      </c>
      <c r="G27" s="1441">
        <f t="shared" si="0"/>
        <v>0</v>
      </c>
      <c r="H27" s="1441">
        <f t="shared" si="1"/>
        <v>0</v>
      </c>
      <c r="I27" s="1443">
        <f t="shared" si="2"/>
        <v>0</v>
      </c>
    </row>
    <row r="28" spans="1:9" ht="12.75" hidden="1" thickBot="1">
      <c r="A28" s="1953" t="str">
        <f>'Units&amp;Income'!B21</f>
        <v>Studio - L</v>
      </c>
      <c r="B28" s="1953"/>
      <c r="C28" s="1793">
        <f>'Units&amp;Income'!A21</f>
        <v>0</v>
      </c>
      <c r="D28" s="1441">
        <f>'Units&amp;Income'!H21</f>
        <v>0</v>
      </c>
      <c r="E28" s="1441">
        <f>'Units&amp;Income'!K21</f>
        <v>0</v>
      </c>
      <c r="F28" s="1442">
        <f>IF($F$5=30%,'Units&amp;Income'!K21,IF($F$5=40%,'Units&amp;Income'!R21,IF($F$5=50%,'Units&amp;Income'!Y21, IF($F$5=60%,'Units&amp;Income'!AF21, IF($F$5=80%,'Units&amp;Income'!AM21, 'Units&amp;Income'!AT21)))))</f>
        <v>0</v>
      </c>
      <c r="G28" s="1441">
        <f t="shared" si="0"/>
        <v>0</v>
      </c>
      <c r="H28" s="1441">
        <f t="shared" si="1"/>
        <v>0</v>
      </c>
      <c r="I28" s="1443">
        <f t="shared" si="2"/>
        <v>0</v>
      </c>
    </row>
    <row r="29" spans="1:9" ht="12.75" hidden="1" thickBot="1">
      <c r="A29" s="1953" t="str">
        <f>'Units&amp;Income'!B22</f>
        <v>Studio - M</v>
      </c>
      <c r="B29" s="1953"/>
      <c r="C29" s="1793">
        <f>'Units&amp;Income'!A22</f>
        <v>0</v>
      </c>
      <c r="D29" s="1441">
        <f>'Units&amp;Income'!H22</f>
        <v>0</v>
      </c>
      <c r="E29" s="1441">
        <f>'Units&amp;Income'!K22</f>
        <v>0</v>
      </c>
      <c r="F29" s="1442">
        <f>IF($F$5=30%,'Units&amp;Income'!K22,IF($F$5=40%,'Units&amp;Income'!R22,IF($F$5=50%,'Units&amp;Income'!Y22, IF($F$5=60%,'Units&amp;Income'!AF22, IF($F$5=80%,'Units&amp;Income'!AM22, 'Units&amp;Income'!AT22)))))</f>
        <v>0</v>
      </c>
      <c r="G29" s="1441">
        <f t="shared" si="0"/>
        <v>0</v>
      </c>
      <c r="H29" s="1441">
        <f t="shared" si="1"/>
        <v>0</v>
      </c>
      <c r="I29" s="1443">
        <f t="shared" si="2"/>
        <v>0</v>
      </c>
    </row>
    <row r="30" spans="1:9" ht="12.75" hidden="1" thickBot="1">
      <c r="A30" s="1951" t="str">
        <f>'Units&amp;Income'!B24</f>
        <v>1 BR - A</v>
      </c>
      <c r="B30" s="1951"/>
      <c r="C30" s="1793">
        <f>'Units&amp;Income'!A24</f>
        <v>1</v>
      </c>
      <c r="D30" s="1441">
        <f>'Units&amp;Income'!H24</f>
        <v>0</v>
      </c>
      <c r="E30" s="1441">
        <f>'Units&amp;Income'!K24</f>
        <v>0</v>
      </c>
      <c r="F30" s="1442">
        <f>IF($F$5=30%,'Units&amp;Income'!K24,IF($F$5=40%,'Units&amp;Income'!R24,IF($F$5=50%,'Units&amp;Income'!Y24, IF($F$5=60%,'Units&amp;Income'!AF24, IF($F$5=80%,'Units&amp;Income'!AM24, 'Units&amp;Income'!AT24)))))</f>
        <v>0</v>
      </c>
      <c r="G30" s="1441">
        <f>IF(D30&gt;0,F30-E30,0)</f>
        <v>0</v>
      </c>
      <c r="H30" s="1441">
        <f>G30*D30</f>
        <v>0</v>
      </c>
      <c r="I30" s="1443">
        <f>H30*12</f>
        <v>0</v>
      </c>
    </row>
    <row r="31" spans="1:9" ht="12.75" hidden="1" thickBot="1">
      <c r="A31" s="1951" t="str">
        <f>'Units&amp;Income'!B25</f>
        <v>1 BR - B</v>
      </c>
      <c r="B31" s="1951"/>
      <c r="C31" s="1793">
        <f>'Units&amp;Income'!A25</f>
        <v>1</v>
      </c>
      <c r="D31" s="1441">
        <f>'Units&amp;Income'!H25</f>
        <v>0</v>
      </c>
      <c r="E31" s="1441">
        <f>'Units&amp;Income'!K25</f>
        <v>0</v>
      </c>
      <c r="F31" s="1442">
        <f>IF($F$5=30%,'Units&amp;Income'!K25,IF($F$5=40%,'Units&amp;Income'!R25,IF($F$5=50%,'Units&amp;Income'!Y25, IF($F$5=60%,'Units&amp;Income'!AF25, IF($F$5=80%,'Units&amp;Income'!AM25, 'Units&amp;Income'!AT25)))))</f>
        <v>0</v>
      </c>
      <c r="G31" s="1441">
        <f t="shared" ref="G31:G42" si="3">IF(D31&gt;0,F31-E31,0)</f>
        <v>0</v>
      </c>
      <c r="H31" s="1441">
        <f t="shared" ref="H31:H42" si="4">G31*D31</f>
        <v>0</v>
      </c>
      <c r="I31" s="1443">
        <f t="shared" si="2"/>
        <v>0</v>
      </c>
    </row>
    <row r="32" spans="1:9" ht="12.75" hidden="1" thickBot="1">
      <c r="A32" s="1951" t="str">
        <f>'Units&amp;Income'!B26</f>
        <v>1 BR - C</v>
      </c>
      <c r="B32" s="1951"/>
      <c r="C32" s="1793">
        <f>'Units&amp;Income'!A26</f>
        <v>1</v>
      </c>
      <c r="D32" s="1441">
        <f>'Units&amp;Income'!H26</f>
        <v>0</v>
      </c>
      <c r="E32" s="1441">
        <f>'Units&amp;Income'!K26</f>
        <v>0</v>
      </c>
      <c r="F32" s="1442">
        <f>IF($F$5=30%,'Units&amp;Income'!K26,IF($F$5=40%,'Units&amp;Income'!R26,IF($F$5=50%,'Units&amp;Income'!Y26, IF($F$5=60%,'Units&amp;Income'!AF26, IF($F$5=80%,'Units&amp;Income'!AM26, 'Units&amp;Income'!AT26)))))</f>
        <v>0</v>
      </c>
      <c r="G32" s="1441">
        <f t="shared" si="3"/>
        <v>0</v>
      </c>
      <c r="H32" s="1441">
        <f t="shared" si="4"/>
        <v>0</v>
      </c>
      <c r="I32" s="1443">
        <f t="shared" si="2"/>
        <v>0</v>
      </c>
    </row>
    <row r="33" spans="1:9" ht="12.75" hidden="1" thickBot="1">
      <c r="A33" s="1951" t="str">
        <f>'Units&amp;Income'!B27</f>
        <v>1 BR - D</v>
      </c>
      <c r="B33" s="1951"/>
      <c r="C33" s="1793">
        <f>'Units&amp;Income'!A27</f>
        <v>1</v>
      </c>
      <c r="D33" s="1441">
        <f>'Units&amp;Income'!H27</f>
        <v>0</v>
      </c>
      <c r="E33" s="1441">
        <f>'Units&amp;Income'!K27</f>
        <v>0</v>
      </c>
      <c r="F33" s="1442">
        <f>IF($F$5=30%,'Units&amp;Income'!K27,IF($F$5=40%,'Units&amp;Income'!R27,IF($F$5=50%,'Units&amp;Income'!Y27, IF($F$5=60%,'Units&amp;Income'!AF27, IF($F$5=80%,'Units&amp;Income'!AM27, 'Units&amp;Income'!AT27)))))</f>
        <v>0</v>
      </c>
      <c r="G33" s="1441">
        <f t="shared" si="3"/>
        <v>0</v>
      </c>
      <c r="H33" s="1441">
        <f t="shared" si="4"/>
        <v>0</v>
      </c>
      <c r="I33" s="1443">
        <f t="shared" si="2"/>
        <v>0</v>
      </c>
    </row>
    <row r="34" spans="1:9" ht="12.75" hidden="1" thickBot="1">
      <c r="A34" s="1951" t="str">
        <f>'Units&amp;Income'!B28</f>
        <v>1 BR - E</v>
      </c>
      <c r="B34" s="1951"/>
      <c r="C34" s="1793">
        <f>'Units&amp;Income'!A28</f>
        <v>1</v>
      </c>
      <c r="D34" s="1441">
        <f>'Units&amp;Income'!H28</f>
        <v>0</v>
      </c>
      <c r="E34" s="1441">
        <f>'Units&amp;Income'!K28</f>
        <v>0</v>
      </c>
      <c r="F34" s="1442">
        <f>IF($F$5=30%,'Units&amp;Income'!K28,IF($F$5=40%,'Units&amp;Income'!R28,IF($F$5=50%,'Units&amp;Income'!Y28, IF($F$5=60%,'Units&amp;Income'!AF28, IF($F$5=80%,'Units&amp;Income'!AM28, 'Units&amp;Income'!AT28)))))</f>
        <v>0</v>
      </c>
      <c r="G34" s="1441">
        <f t="shared" si="3"/>
        <v>0</v>
      </c>
      <c r="H34" s="1441">
        <f t="shared" si="4"/>
        <v>0</v>
      </c>
      <c r="I34" s="1443">
        <f t="shared" si="2"/>
        <v>0</v>
      </c>
    </row>
    <row r="35" spans="1:9" ht="12.75" hidden="1" thickBot="1">
      <c r="A35" s="1951" t="str">
        <f>'Units&amp;Income'!B29</f>
        <v>1 BR - F</v>
      </c>
      <c r="B35" s="1951"/>
      <c r="C35" s="1793">
        <f>'Units&amp;Income'!A29</f>
        <v>1</v>
      </c>
      <c r="D35" s="1441">
        <f>'Units&amp;Income'!H29</f>
        <v>0</v>
      </c>
      <c r="E35" s="1441">
        <f>'Units&amp;Income'!K29</f>
        <v>0</v>
      </c>
      <c r="F35" s="1442">
        <f>IF($F$5=30%,'Units&amp;Income'!K29,IF($F$5=40%,'Units&amp;Income'!R29,IF($F$5=50%,'Units&amp;Income'!Y29, IF($F$5=60%,'Units&amp;Income'!AF29, IF($F$5=80%,'Units&amp;Income'!AM29, 'Units&amp;Income'!AT29)))))</f>
        <v>0</v>
      </c>
      <c r="G35" s="1441">
        <f t="shared" si="3"/>
        <v>0</v>
      </c>
      <c r="H35" s="1441">
        <f t="shared" si="4"/>
        <v>0</v>
      </c>
      <c r="I35" s="1443">
        <f t="shared" si="2"/>
        <v>0</v>
      </c>
    </row>
    <row r="36" spans="1:9" ht="12.75" hidden="1" thickBot="1">
      <c r="A36" s="1951" t="str">
        <f>'Units&amp;Income'!B30</f>
        <v>1 BR - G</v>
      </c>
      <c r="B36" s="1951"/>
      <c r="C36" s="1793">
        <f>'Units&amp;Income'!A30</f>
        <v>1</v>
      </c>
      <c r="D36" s="1441">
        <f>'Units&amp;Income'!H30</f>
        <v>0</v>
      </c>
      <c r="E36" s="1441">
        <f>'Units&amp;Income'!K30</f>
        <v>0</v>
      </c>
      <c r="F36" s="1442">
        <f>IF($F$5=30%,'Units&amp;Income'!K30,IF($F$5=40%,'Units&amp;Income'!R30,IF($F$5=50%,'Units&amp;Income'!Y30, IF($F$5=60%,'Units&amp;Income'!AF30, IF($F$5=80%,'Units&amp;Income'!AM30, 'Units&amp;Income'!AT30)))))</f>
        <v>0</v>
      </c>
      <c r="G36" s="1441">
        <f t="shared" si="3"/>
        <v>0</v>
      </c>
      <c r="H36" s="1441">
        <f t="shared" si="4"/>
        <v>0</v>
      </c>
      <c r="I36" s="1443">
        <f t="shared" si="2"/>
        <v>0</v>
      </c>
    </row>
    <row r="37" spans="1:9" ht="12.75" hidden="1" thickBot="1">
      <c r="A37" s="1951" t="str">
        <f>'Units&amp;Income'!B31</f>
        <v>1 BR - H</v>
      </c>
      <c r="B37" s="1951"/>
      <c r="C37" s="1793">
        <f>'Units&amp;Income'!A31</f>
        <v>1</v>
      </c>
      <c r="D37" s="1441">
        <f>'Units&amp;Income'!H31</f>
        <v>0</v>
      </c>
      <c r="E37" s="1441">
        <f>'Units&amp;Income'!K31</f>
        <v>0</v>
      </c>
      <c r="F37" s="1442">
        <f>IF($F$5=30%,'Units&amp;Income'!K31,IF($F$5=40%,'Units&amp;Income'!R31,IF($F$5=50%,'Units&amp;Income'!Y31, IF($F$5=60%,'Units&amp;Income'!AF31, IF($F$5=80%,'Units&amp;Income'!AM31, 'Units&amp;Income'!AT31)))))</f>
        <v>0</v>
      </c>
      <c r="G37" s="1441">
        <f t="shared" si="3"/>
        <v>0</v>
      </c>
      <c r="H37" s="1441">
        <f t="shared" si="4"/>
        <v>0</v>
      </c>
      <c r="I37" s="1443">
        <f t="shared" si="2"/>
        <v>0</v>
      </c>
    </row>
    <row r="38" spans="1:9" ht="12.75" hidden="1" thickBot="1">
      <c r="A38" s="1951" t="str">
        <f>'Units&amp;Income'!B32</f>
        <v>1 BR - I</v>
      </c>
      <c r="B38" s="1951"/>
      <c r="C38" s="1793">
        <f>'Units&amp;Income'!A32</f>
        <v>1</v>
      </c>
      <c r="D38" s="1441">
        <f>'Units&amp;Income'!H32</f>
        <v>0</v>
      </c>
      <c r="E38" s="1441">
        <f>'Units&amp;Income'!K32</f>
        <v>0</v>
      </c>
      <c r="F38" s="1442">
        <f>IF($F$5=30%,'Units&amp;Income'!K32,IF($F$5=40%,'Units&amp;Income'!R32,IF($F$5=50%,'Units&amp;Income'!Y32, IF($F$5=60%,'Units&amp;Income'!AF32, IF($F$5=80%,'Units&amp;Income'!AM32, 'Units&amp;Income'!AT32)))))</f>
        <v>0</v>
      </c>
      <c r="G38" s="1441">
        <f t="shared" si="3"/>
        <v>0</v>
      </c>
      <c r="H38" s="1441">
        <f t="shared" si="4"/>
        <v>0</v>
      </c>
      <c r="I38" s="1443">
        <f t="shared" si="2"/>
        <v>0</v>
      </c>
    </row>
    <row r="39" spans="1:9" ht="12.75" hidden="1" thickBot="1">
      <c r="A39" s="1951" t="str">
        <f>'Units&amp;Income'!B33</f>
        <v>1 BR - J</v>
      </c>
      <c r="B39" s="1951"/>
      <c r="C39" s="1793">
        <f>'Units&amp;Income'!A33</f>
        <v>1</v>
      </c>
      <c r="D39" s="1441">
        <f>'Units&amp;Income'!H33</f>
        <v>0</v>
      </c>
      <c r="E39" s="1441">
        <f>'Units&amp;Income'!K33</f>
        <v>0</v>
      </c>
      <c r="F39" s="1442">
        <f>IF($F$5=30%,'Units&amp;Income'!K33,IF($F$5=40%,'Units&amp;Income'!R33,IF($F$5=50%,'Units&amp;Income'!Y33, IF($F$5=60%,'Units&amp;Income'!AF33, IF($F$5=80%,'Units&amp;Income'!AM33, 'Units&amp;Income'!AT33)))))</f>
        <v>0</v>
      </c>
      <c r="G39" s="1441">
        <f t="shared" si="3"/>
        <v>0</v>
      </c>
      <c r="H39" s="1441">
        <f t="shared" si="4"/>
        <v>0</v>
      </c>
      <c r="I39" s="1443">
        <f t="shared" si="2"/>
        <v>0</v>
      </c>
    </row>
    <row r="40" spans="1:9" ht="12.75" hidden="1" thickBot="1">
      <c r="A40" s="1951" t="str">
        <f>'Units&amp;Income'!B34</f>
        <v>1 BR - K</v>
      </c>
      <c r="B40" s="1951"/>
      <c r="C40" s="1793">
        <f>'Units&amp;Income'!A34</f>
        <v>1</v>
      </c>
      <c r="D40" s="1441">
        <f>'Units&amp;Income'!H34</f>
        <v>0</v>
      </c>
      <c r="E40" s="1441">
        <f>'Units&amp;Income'!K34</f>
        <v>0</v>
      </c>
      <c r="F40" s="1442">
        <f>IF($F$5=30%,'Units&amp;Income'!K34,IF($F$5=40%,'Units&amp;Income'!R34,IF($F$5=50%,'Units&amp;Income'!Y34, IF($F$5=60%,'Units&amp;Income'!AF34, IF($F$5=80%,'Units&amp;Income'!AM34, 'Units&amp;Income'!AT34)))))</f>
        <v>0</v>
      </c>
      <c r="G40" s="1441">
        <f t="shared" si="3"/>
        <v>0</v>
      </c>
      <c r="H40" s="1441">
        <f t="shared" si="4"/>
        <v>0</v>
      </c>
      <c r="I40" s="1443">
        <f t="shared" si="2"/>
        <v>0</v>
      </c>
    </row>
    <row r="41" spans="1:9" ht="12.75" hidden="1" thickBot="1">
      <c r="A41" s="1951" t="str">
        <f>'Units&amp;Income'!B35</f>
        <v>1 BR - L</v>
      </c>
      <c r="B41" s="1951"/>
      <c r="C41" s="1793">
        <f>'Units&amp;Income'!A35</f>
        <v>1</v>
      </c>
      <c r="D41" s="1441">
        <f>'Units&amp;Income'!H35</f>
        <v>0</v>
      </c>
      <c r="E41" s="1441">
        <f>'Units&amp;Income'!K35</f>
        <v>0</v>
      </c>
      <c r="F41" s="1442">
        <f>IF($F$5=30%,'Units&amp;Income'!K35,IF($F$5=40%,'Units&amp;Income'!R35,IF($F$5=50%,'Units&amp;Income'!Y35, IF($F$5=60%,'Units&amp;Income'!AF35, IF($F$5=80%,'Units&amp;Income'!AM35, 'Units&amp;Income'!AT35)))))</f>
        <v>0</v>
      </c>
      <c r="G41" s="1441">
        <f t="shared" si="3"/>
        <v>0</v>
      </c>
      <c r="H41" s="1441">
        <f t="shared" si="4"/>
        <v>0</v>
      </c>
      <c r="I41" s="1443">
        <f t="shared" si="2"/>
        <v>0</v>
      </c>
    </row>
    <row r="42" spans="1:9" ht="12.75" hidden="1" thickBot="1">
      <c r="A42" s="1951" t="str">
        <f>'Units&amp;Income'!B36</f>
        <v>1 BR - M</v>
      </c>
      <c r="B42" s="1951"/>
      <c r="C42" s="1793">
        <f>'Units&amp;Income'!A36</f>
        <v>1</v>
      </c>
      <c r="D42" s="1441">
        <f>'Units&amp;Income'!H36</f>
        <v>0</v>
      </c>
      <c r="E42" s="1441">
        <f>'Units&amp;Income'!K36</f>
        <v>0</v>
      </c>
      <c r="F42" s="1442">
        <f>IF($F$5=30%,'Units&amp;Income'!K36,IF($F$5=40%,'Units&amp;Income'!R36,IF($F$5=50%,'Units&amp;Income'!Y36, IF($F$5=60%,'Units&amp;Income'!AF36, IF($F$5=80%,'Units&amp;Income'!AM36, 'Units&amp;Income'!AT36)))))</f>
        <v>0</v>
      </c>
      <c r="G42" s="1441">
        <f t="shared" si="3"/>
        <v>0</v>
      </c>
      <c r="H42" s="1441">
        <f t="shared" si="4"/>
        <v>0</v>
      </c>
      <c r="I42" s="1443">
        <f t="shared" si="2"/>
        <v>0</v>
      </c>
    </row>
    <row r="43" spans="1:9" ht="12.75" hidden="1" thickBot="1">
      <c r="A43" s="1951" t="str">
        <f>'Units&amp;Income'!B38</f>
        <v>2 BR - A</v>
      </c>
      <c r="B43" s="1951"/>
      <c r="C43" s="1793">
        <f>'Units&amp;Income'!A38</f>
        <v>2</v>
      </c>
      <c r="D43" s="1441">
        <f>'Units&amp;Income'!H38</f>
        <v>0</v>
      </c>
      <c r="E43" s="1441">
        <f>'Units&amp;Income'!K38</f>
        <v>0</v>
      </c>
      <c r="F43" s="1442">
        <f>IF($F$5=30%,'Units&amp;Income'!K38,IF($F$5=40%,'Units&amp;Income'!R38,IF($F$5=50%,'Units&amp;Income'!Y38, IF($F$5=60%,'Units&amp;Income'!AF38, IF($F$5=80%,'Units&amp;Income'!AM38, 'Units&amp;Income'!AT38)))))</f>
        <v>0</v>
      </c>
      <c r="G43" s="1441">
        <f>IF(D43&gt;0,F43-E43,0)</f>
        <v>0</v>
      </c>
      <c r="H43" s="1441">
        <f>G43*D43</f>
        <v>0</v>
      </c>
      <c r="I43" s="1443">
        <f>H43*12</f>
        <v>0</v>
      </c>
    </row>
    <row r="44" spans="1:9" ht="12.75" hidden="1" thickBot="1">
      <c r="A44" s="1951" t="str">
        <f>'Units&amp;Income'!B39</f>
        <v>2 BR - B</v>
      </c>
      <c r="B44" s="1951"/>
      <c r="C44" s="1793">
        <f>'Units&amp;Income'!A39</f>
        <v>2</v>
      </c>
      <c r="D44" s="1441">
        <f>'Units&amp;Income'!H39</f>
        <v>0</v>
      </c>
      <c r="E44" s="1441">
        <f>'Units&amp;Income'!K39</f>
        <v>0</v>
      </c>
      <c r="F44" s="1442">
        <f>IF($F$5=30%,'Units&amp;Income'!K39,IF($F$5=40%,'Units&amp;Income'!R39,IF($F$5=50%,'Units&amp;Income'!Y39, IF($F$5=60%,'Units&amp;Income'!AF39, IF($F$5=80%,'Units&amp;Income'!AM39, 'Units&amp;Income'!AT39)))))</f>
        <v>0</v>
      </c>
      <c r="G44" s="1441">
        <f t="shared" ref="G44:G55" si="5">IF(D44&gt;0,F44-E44,0)</f>
        <v>0</v>
      </c>
      <c r="H44" s="1441">
        <f t="shared" ref="H44:H55" si="6">G44*D44</f>
        <v>0</v>
      </c>
      <c r="I44" s="1443">
        <f t="shared" ref="I44:I55" si="7">H44*12</f>
        <v>0</v>
      </c>
    </row>
    <row r="45" spans="1:9" ht="12.75" hidden="1" thickBot="1">
      <c r="A45" s="1951" t="str">
        <f>'Units&amp;Income'!B40</f>
        <v>2 BR - C</v>
      </c>
      <c r="B45" s="1951"/>
      <c r="C45" s="1793">
        <f>'Units&amp;Income'!A40</f>
        <v>2</v>
      </c>
      <c r="D45" s="1441">
        <f>'Units&amp;Income'!H40</f>
        <v>0</v>
      </c>
      <c r="E45" s="1441">
        <f>'Units&amp;Income'!K40</f>
        <v>0</v>
      </c>
      <c r="F45" s="1442">
        <f>IF($F$5=30%,'Units&amp;Income'!K40,IF($F$5=40%,'Units&amp;Income'!R40,IF($F$5=50%,'Units&amp;Income'!Y40, IF($F$5=60%,'Units&amp;Income'!AF40, IF($F$5=80%,'Units&amp;Income'!AM40, 'Units&amp;Income'!AT40)))))</f>
        <v>0</v>
      </c>
      <c r="G45" s="1441">
        <f t="shared" si="5"/>
        <v>0</v>
      </c>
      <c r="H45" s="1441">
        <f t="shared" si="6"/>
        <v>0</v>
      </c>
      <c r="I45" s="1443">
        <f t="shared" si="7"/>
        <v>0</v>
      </c>
    </row>
    <row r="46" spans="1:9" ht="12.75" hidden="1" thickBot="1">
      <c r="A46" s="1951" t="str">
        <f>'Units&amp;Income'!B41</f>
        <v>2 BR - D</v>
      </c>
      <c r="B46" s="1951"/>
      <c r="C46" s="1793">
        <f>'Units&amp;Income'!A41</f>
        <v>2</v>
      </c>
      <c r="D46" s="1441">
        <f>'Units&amp;Income'!H41</f>
        <v>0</v>
      </c>
      <c r="E46" s="1441">
        <f>'Units&amp;Income'!K41</f>
        <v>0</v>
      </c>
      <c r="F46" s="1442">
        <f>IF($F$5=30%,'Units&amp;Income'!K41,IF($F$5=40%,'Units&amp;Income'!R41,IF($F$5=50%,'Units&amp;Income'!Y41, IF($F$5=60%,'Units&amp;Income'!AF41, IF($F$5=80%,'Units&amp;Income'!AM41, 'Units&amp;Income'!AT41)))))</f>
        <v>0</v>
      </c>
      <c r="G46" s="1441">
        <f t="shared" si="5"/>
        <v>0</v>
      </c>
      <c r="H46" s="1441">
        <f t="shared" si="6"/>
        <v>0</v>
      </c>
      <c r="I46" s="1443">
        <f t="shared" si="7"/>
        <v>0</v>
      </c>
    </row>
    <row r="47" spans="1:9" ht="12.75" hidden="1" thickBot="1">
      <c r="A47" s="1951" t="str">
        <f>'Units&amp;Income'!B42</f>
        <v>2 BR - E</v>
      </c>
      <c r="B47" s="1951"/>
      <c r="C47" s="1793">
        <f>'Units&amp;Income'!A42</f>
        <v>2</v>
      </c>
      <c r="D47" s="1441">
        <f>'Units&amp;Income'!H42</f>
        <v>0</v>
      </c>
      <c r="E47" s="1441">
        <f>'Units&amp;Income'!K42</f>
        <v>0</v>
      </c>
      <c r="F47" s="1442">
        <f>IF($F$5=30%,'Units&amp;Income'!K42,IF($F$5=40%,'Units&amp;Income'!R42,IF($F$5=50%,'Units&amp;Income'!Y42, IF($F$5=60%,'Units&amp;Income'!AF42, IF($F$5=80%,'Units&amp;Income'!AM42, 'Units&amp;Income'!AT42)))))</f>
        <v>0</v>
      </c>
      <c r="G47" s="1441">
        <f t="shared" si="5"/>
        <v>0</v>
      </c>
      <c r="H47" s="1441">
        <f t="shared" si="6"/>
        <v>0</v>
      </c>
      <c r="I47" s="1443">
        <f t="shared" si="7"/>
        <v>0</v>
      </c>
    </row>
    <row r="48" spans="1:9" ht="12.75" hidden="1" thickBot="1">
      <c r="A48" s="1951" t="str">
        <f>'Units&amp;Income'!B43</f>
        <v>2 BR - F</v>
      </c>
      <c r="B48" s="1951"/>
      <c r="C48" s="1793">
        <f>'Units&amp;Income'!A43</f>
        <v>2</v>
      </c>
      <c r="D48" s="1441">
        <f>'Units&amp;Income'!H43</f>
        <v>0</v>
      </c>
      <c r="E48" s="1441">
        <f>'Units&amp;Income'!K43</f>
        <v>0</v>
      </c>
      <c r="F48" s="1442">
        <f>IF($F$5=30%,'Units&amp;Income'!K43,IF($F$5=40%,'Units&amp;Income'!R43,IF($F$5=50%,'Units&amp;Income'!Y43, IF($F$5=60%,'Units&amp;Income'!AF43, IF($F$5=80%,'Units&amp;Income'!AM43, 'Units&amp;Income'!AT43)))))</f>
        <v>0</v>
      </c>
      <c r="G48" s="1441">
        <f t="shared" si="5"/>
        <v>0</v>
      </c>
      <c r="H48" s="1441">
        <f t="shared" si="6"/>
        <v>0</v>
      </c>
      <c r="I48" s="1443">
        <f t="shared" si="7"/>
        <v>0</v>
      </c>
    </row>
    <row r="49" spans="1:9" ht="12.75" hidden="1" thickBot="1">
      <c r="A49" s="1951" t="str">
        <f>'Units&amp;Income'!B44</f>
        <v>2 BR - G</v>
      </c>
      <c r="B49" s="1951"/>
      <c r="C49" s="1793">
        <f>'Units&amp;Income'!A44</f>
        <v>2</v>
      </c>
      <c r="D49" s="1441">
        <f>'Units&amp;Income'!H44</f>
        <v>0</v>
      </c>
      <c r="E49" s="1441">
        <f>'Units&amp;Income'!K44</f>
        <v>0</v>
      </c>
      <c r="F49" s="1442">
        <f>IF($F$5=30%,'Units&amp;Income'!K44,IF($F$5=40%,'Units&amp;Income'!R44,IF($F$5=50%,'Units&amp;Income'!Y44, IF($F$5=60%,'Units&amp;Income'!AF44, IF($F$5=80%,'Units&amp;Income'!AM44, 'Units&amp;Income'!AT44)))))</f>
        <v>0</v>
      </c>
      <c r="G49" s="1441">
        <f t="shared" si="5"/>
        <v>0</v>
      </c>
      <c r="H49" s="1441">
        <f t="shared" si="6"/>
        <v>0</v>
      </c>
      <c r="I49" s="1443">
        <f t="shared" si="7"/>
        <v>0</v>
      </c>
    </row>
    <row r="50" spans="1:9" ht="12.75" hidden="1" thickBot="1">
      <c r="A50" s="1951" t="str">
        <f>'Units&amp;Income'!B45</f>
        <v>2 BR - H</v>
      </c>
      <c r="B50" s="1951"/>
      <c r="C50" s="1793">
        <f>'Units&amp;Income'!A45</f>
        <v>2</v>
      </c>
      <c r="D50" s="1441">
        <f>'Units&amp;Income'!H45</f>
        <v>0</v>
      </c>
      <c r="E50" s="1441">
        <f>'Units&amp;Income'!K45</f>
        <v>0</v>
      </c>
      <c r="F50" s="1442">
        <f>IF($F$5=30%,'Units&amp;Income'!K45,IF($F$5=40%,'Units&amp;Income'!R45,IF($F$5=50%,'Units&amp;Income'!Y45, IF($F$5=60%,'Units&amp;Income'!AF45, IF($F$5=80%,'Units&amp;Income'!AM45, 'Units&amp;Income'!AT45)))))</f>
        <v>0</v>
      </c>
      <c r="G50" s="1441">
        <f t="shared" si="5"/>
        <v>0</v>
      </c>
      <c r="H50" s="1441">
        <f t="shared" si="6"/>
        <v>0</v>
      </c>
      <c r="I50" s="1443">
        <f t="shared" si="7"/>
        <v>0</v>
      </c>
    </row>
    <row r="51" spans="1:9" ht="12.75" hidden="1" thickBot="1">
      <c r="A51" s="1951" t="str">
        <f>'Units&amp;Income'!B46</f>
        <v>2 BR - I</v>
      </c>
      <c r="B51" s="1951"/>
      <c r="C51" s="1793">
        <f>'Units&amp;Income'!A46</f>
        <v>2</v>
      </c>
      <c r="D51" s="1441">
        <f>'Units&amp;Income'!H46</f>
        <v>0</v>
      </c>
      <c r="E51" s="1441">
        <f>'Units&amp;Income'!K46</f>
        <v>0</v>
      </c>
      <c r="F51" s="1442">
        <f>IF($F$5=30%,'Units&amp;Income'!K46,IF($F$5=40%,'Units&amp;Income'!R46,IF($F$5=50%,'Units&amp;Income'!Y46, IF($F$5=60%,'Units&amp;Income'!AF46, IF($F$5=80%,'Units&amp;Income'!AM46, 'Units&amp;Income'!AT46)))))</f>
        <v>0</v>
      </c>
      <c r="G51" s="1441">
        <f t="shared" si="5"/>
        <v>0</v>
      </c>
      <c r="H51" s="1441">
        <f t="shared" si="6"/>
        <v>0</v>
      </c>
      <c r="I51" s="1443">
        <f t="shared" si="7"/>
        <v>0</v>
      </c>
    </row>
    <row r="52" spans="1:9" ht="12.75" hidden="1" thickBot="1">
      <c r="A52" s="1951" t="str">
        <f>'Units&amp;Income'!B47</f>
        <v>2 BR - J</v>
      </c>
      <c r="B52" s="1951"/>
      <c r="C52" s="1793">
        <f>'Units&amp;Income'!A47</f>
        <v>2</v>
      </c>
      <c r="D52" s="1441">
        <f>'Units&amp;Income'!H47</f>
        <v>0</v>
      </c>
      <c r="E52" s="1441">
        <f>'Units&amp;Income'!K47</f>
        <v>0</v>
      </c>
      <c r="F52" s="1442">
        <f>IF($F$5=30%,'Units&amp;Income'!K47,IF($F$5=40%,'Units&amp;Income'!R47,IF($F$5=50%,'Units&amp;Income'!Y47, IF($F$5=60%,'Units&amp;Income'!AF47, IF($F$5=80%,'Units&amp;Income'!AM47, 'Units&amp;Income'!AT47)))))</f>
        <v>0</v>
      </c>
      <c r="G52" s="1441">
        <f t="shared" si="5"/>
        <v>0</v>
      </c>
      <c r="H52" s="1441">
        <f t="shared" si="6"/>
        <v>0</v>
      </c>
      <c r="I52" s="1443">
        <f t="shared" si="7"/>
        <v>0</v>
      </c>
    </row>
    <row r="53" spans="1:9" ht="12.75" hidden="1" thickBot="1">
      <c r="A53" s="1951" t="str">
        <f>'Units&amp;Income'!B48</f>
        <v>2 BR - K</v>
      </c>
      <c r="B53" s="1951"/>
      <c r="C53" s="1793">
        <f>'Units&amp;Income'!A48</f>
        <v>2</v>
      </c>
      <c r="D53" s="1441">
        <f>'Units&amp;Income'!H48</f>
        <v>0</v>
      </c>
      <c r="E53" s="1441">
        <f>'Units&amp;Income'!K48</f>
        <v>0</v>
      </c>
      <c r="F53" s="1442">
        <f>IF($F$5=30%,'Units&amp;Income'!K48,IF($F$5=40%,'Units&amp;Income'!R48,IF($F$5=50%,'Units&amp;Income'!Y48, IF($F$5=60%,'Units&amp;Income'!AF48, IF($F$5=80%,'Units&amp;Income'!AM48, 'Units&amp;Income'!AT48)))))</f>
        <v>0</v>
      </c>
      <c r="G53" s="1441">
        <f t="shared" si="5"/>
        <v>0</v>
      </c>
      <c r="H53" s="1441">
        <f t="shared" si="6"/>
        <v>0</v>
      </c>
      <c r="I53" s="1443">
        <f t="shared" si="7"/>
        <v>0</v>
      </c>
    </row>
    <row r="54" spans="1:9" ht="12.75" hidden="1" thickBot="1">
      <c r="A54" s="1951" t="str">
        <f>'Units&amp;Income'!B49</f>
        <v>2 BR - L</v>
      </c>
      <c r="B54" s="1951"/>
      <c r="C54" s="1793">
        <f>'Units&amp;Income'!A49</f>
        <v>2</v>
      </c>
      <c r="D54" s="1441">
        <f>'Units&amp;Income'!H49</f>
        <v>0</v>
      </c>
      <c r="E54" s="1441">
        <f>'Units&amp;Income'!K49</f>
        <v>0</v>
      </c>
      <c r="F54" s="1442">
        <f>IF($F$5=30%,'Units&amp;Income'!K49,IF($F$5=40%,'Units&amp;Income'!R49,IF($F$5=50%,'Units&amp;Income'!Y49, IF($F$5=60%,'Units&amp;Income'!AF49, IF($F$5=80%,'Units&amp;Income'!AM49, 'Units&amp;Income'!AT49)))))</f>
        <v>0</v>
      </c>
      <c r="G54" s="1441">
        <f t="shared" si="5"/>
        <v>0</v>
      </c>
      <c r="H54" s="1441">
        <f t="shared" si="6"/>
        <v>0</v>
      </c>
      <c r="I54" s="1443">
        <f t="shared" si="7"/>
        <v>0</v>
      </c>
    </row>
    <row r="55" spans="1:9" ht="12.75" hidden="1" thickBot="1">
      <c r="A55" s="1951" t="str">
        <f>'Units&amp;Income'!B50</f>
        <v>2 BR - M</v>
      </c>
      <c r="B55" s="1951"/>
      <c r="C55" s="1793">
        <f>'Units&amp;Income'!A50</f>
        <v>2</v>
      </c>
      <c r="D55" s="1441">
        <f>'Units&amp;Income'!H50</f>
        <v>0</v>
      </c>
      <c r="E55" s="1441">
        <f>'Units&amp;Income'!K50</f>
        <v>0</v>
      </c>
      <c r="F55" s="1442">
        <f>IF($F$5=30%,'Units&amp;Income'!K50,IF($F$5=40%,'Units&amp;Income'!R50,IF($F$5=50%,'Units&amp;Income'!Y50, IF($F$5=60%,'Units&amp;Income'!AF50, IF($F$5=80%,'Units&amp;Income'!AM50, 'Units&amp;Income'!AT50)))))</f>
        <v>0</v>
      </c>
      <c r="G55" s="1441">
        <f t="shared" si="5"/>
        <v>0</v>
      </c>
      <c r="H55" s="1441">
        <f t="shared" si="6"/>
        <v>0</v>
      </c>
      <c r="I55" s="1443">
        <f t="shared" si="7"/>
        <v>0</v>
      </c>
    </row>
    <row r="56" spans="1:9" ht="12.75" hidden="1" thickBot="1">
      <c r="A56" s="1951" t="str">
        <f>'Units&amp;Income'!B52</f>
        <v>3 BR - A</v>
      </c>
      <c r="B56" s="1951"/>
      <c r="C56" s="1793">
        <f>'Units&amp;Income'!A52</f>
        <v>3</v>
      </c>
      <c r="D56" s="1441">
        <f>'Units&amp;Income'!H52</f>
        <v>0</v>
      </c>
      <c r="E56" s="1441">
        <f>'Units&amp;Income'!K52</f>
        <v>0</v>
      </c>
      <c r="F56" s="1442">
        <f>IF($F$5=30%,'Units&amp;Income'!K52,IF($F$5=40%,'Units&amp;Income'!R52,IF($F$5=50%,'Units&amp;Income'!Y52, IF($F$5=60%,'Units&amp;Income'!AF52, IF($F$5=80%,'Units&amp;Income'!AM52, 'Units&amp;Income'!AT52)))))</f>
        <v>0</v>
      </c>
      <c r="G56" s="1441">
        <f>IF(D56&gt;0,F56-E56,0)</f>
        <v>0</v>
      </c>
      <c r="H56" s="1441">
        <f>G56*D56</f>
        <v>0</v>
      </c>
      <c r="I56" s="1443">
        <f>H56*12</f>
        <v>0</v>
      </c>
    </row>
    <row r="57" spans="1:9" ht="12.75" hidden="1" thickBot="1">
      <c r="A57" s="1951" t="str">
        <f>'Units&amp;Income'!B53</f>
        <v>3 BR - B</v>
      </c>
      <c r="B57" s="1951"/>
      <c r="C57" s="1793">
        <f>'Units&amp;Income'!A53</f>
        <v>3</v>
      </c>
      <c r="D57" s="1441">
        <f>'Units&amp;Income'!H53</f>
        <v>0</v>
      </c>
      <c r="E57" s="1441">
        <f>'Units&amp;Income'!K53</f>
        <v>0</v>
      </c>
      <c r="F57" s="1442">
        <f>IF($F$5=30%,'Units&amp;Income'!K53,IF($F$5=40%,'Units&amp;Income'!R53,IF($F$5=50%,'Units&amp;Income'!Y53, IF($F$5=60%,'Units&amp;Income'!AF53, IF($F$5=80%,'Units&amp;Income'!AM53, 'Units&amp;Income'!AT53)))))</f>
        <v>0</v>
      </c>
      <c r="G57" s="1441">
        <f t="shared" ref="G57:G68" si="8">IF(D57&gt;0,F57-E57,0)</f>
        <v>0</v>
      </c>
      <c r="H57" s="1441">
        <f t="shared" ref="H57:H68" si="9">G57*D57</f>
        <v>0</v>
      </c>
      <c r="I57" s="1443">
        <f t="shared" ref="I57:I68" si="10">H57*12</f>
        <v>0</v>
      </c>
    </row>
    <row r="58" spans="1:9" ht="12.75" hidden="1" thickBot="1">
      <c r="A58" s="1951" t="str">
        <f>'Units&amp;Income'!B54</f>
        <v>3 BR - C</v>
      </c>
      <c r="B58" s="1951"/>
      <c r="C58" s="1793">
        <f>'Units&amp;Income'!A54</f>
        <v>3</v>
      </c>
      <c r="D58" s="1441">
        <f>'Units&amp;Income'!H54</f>
        <v>0</v>
      </c>
      <c r="E58" s="1441">
        <f>'Units&amp;Income'!K54</f>
        <v>0</v>
      </c>
      <c r="F58" s="1442">
        <f>IF($F$5=30%,'Units&amp;Income'!K54,IF($F$5=40%,'Units&amp;Income'!R54,IF($F$5=50%,'Units&amp;Income'!Y54, IF($F$5=60%,'Units&amp;Income'!AF54, IF($F$5=80%,'Units&amp;Income'!AM54, 'Units&amp;Income'!AT54)))))</f>
        <v>0</v>
      </c>
      <c r="G58" s="1441">
        <f t="shared" si="8"/>
        <v>0</v>
      </c>
      <c r="H58" s="1441">
        <f t="shared" si="9"/>
        <v>0</v>
      </c>
      <c r="I58" s="1443">
        <f t="shared" si="10"/>
        <v>0</v>
      </c>
    </row>
    <row r="59" spans="1:9" ht="12.75" hidden="1" thickBot="1">
      <c r="A59" s="1951" t="str">
        <f>'Units&amp;Income'!B55</f>
        <v>3 BR - D</v>
      </c>
      <c r="B59" s="1951"/>
      <c r="C59" s="1793">
        <f>'Units&amp;Income'!A55</f>
        <v>3</v>
      </c>
      <c r="D59" s="1441">
        <f>'Units&amp;Income'!H55</f>
        <v>0</v>
      </c>
      <c r="E59" s="1441">
        <f>'Units&amp;Income'!K55</f>
        <v>0</v>
      </c>
      <c r="F59" s="1442">
        <f>IF($F$5=30%,'Units&amp;Income'!K55,IF($F$5=40%,'Units&amp;Income'!R55,IF($F$5=50%,'Units&amp;Income'!Y55, IF($F$5=60%,'Units&amp;Income'!AF55, IF($F$5=80%,'Units&amp;Income'!AM55, 'Units&amp;Income'!AT55)))))</f>
        <v>0</v>
      </c>
      <c r="G59" s="1441">
        <f t="shared" si="8"/>
        <v>0</v>
      </c>
      <c r="H59" s="1441">
        <f t="shared" si="9"/>
        <v>0</v>
      </c>
      <c r="I59" s="1443">
        <f t="shared" si="10"/>
        <v>0</v>
      </c>
    </row>
    <row r="60" spans="1:9" ht="12.75" hidden="1" thickBot="1">
      <c r="A60" s="1951" t="str">
        <f>'Units&amp;Income'!B56</f>
        <v>3 BR - E</v>
      </c>
      <c r="B60" s="1951"/>
      <c r="C60" s="1793">
        <f>'Units&amp;Income'!A56</f>
        <v>3</v>
      </c>
      <c r="D60" s="1441">
        <f>'Units&amp;Income'!H56</f>
        <v>0</v>
      </c>
      <c r="E60" s="1441">
        <f>'Units&amp;Income'!K56</f>
        <v>0</v>
      </c>
      <c r="F60" s="1442">
        <f>IF($F$5=30%,'Units&amp;Income'!K56,IF($F$5=40%,'Units&amp;Income'!R56,IF($F$5=50%,'Units&amp;Income'!Y56, IF($F$5=60%,'Units&amp;Income'!AF56, IF($F$5=80%,'Units&amp;Income'!AM56, 'Units&amp;Income'!AT56)))))</f>
        <v>0</v>
      </c>
      <c r="G60" s="1441">
        <f t="shared" si="8"/>
        <v>0</v>
      </c>
      <c r="H60" s="1441">
        <f t="shared" si="9"/>
        <v>0</v>
      </c>
      <c r="I60" s="1443">
        <f t="shared" si="10"/>
        <v>0</v>
      </c>
    </row>
    <row r="61" spans="1:9" ht="12.75" hidden="1" thickBot="1">
      <c r="A61" s="1951" t="str">
        <f>'Units&amp;Income'!B57</f>
        <v>3 BR - F</v>
      </c>
      <c r="B61" s="1951"/>
      <c r="C61" s="1793">
        <f>'Units&amp;Income'!A57</f>
        <v>3</v>
      </c>
      <c r="D61" s="1441">
        <f>'Units&amp;Income'!H57</f>
        <v>0</v>
      </c>
      <c r="E61" s="1441">
        <f>'Units&amp;Income'!K57</f>
        <v>0</v>
      </c>
      <c r="F61" s="1442">
        <f>IF($F$5=30%,'Units&amp;Income'!K57,IF($F$5=40%,'Units&amp;Income'!R57,IF($F$5=50%,'Units&amp;Income'!Y57, IF($F$5=60%,'Units&amp;Income'!AF57, IF($F$5=80%,'Units&amp;Income'!AM57, 'Units&amp;Income'!AT57)))))</f>
        <v>0</v>
      </c>
      <c r="G61" s="1441">
        <f t="shared" si="8"/>
        <v>0</v>
      </c>
      <c r="H61" s="1441">
        <f t="shared" si="9"/>
        <v>0</v>
      </c>
      <c r="I61" s="1443">
        <f t="shared" si="10"/>
        <v>0</v>
      </c>
    </row>
    <row r="62" spans="1:9" ht="12.75" hidden="1" thickBot="1">
      <c r="A62" s="1951" t="str">
        <f>'Units&amp;Income'!B58</f>
        <v>3 BR - G</v>
      </c>
      <c r="B62" s="1951"/>
      <c r="C62" s="1793">
        <f>'Units&amp;Income'!A58</f>
        <v>3</v>
      </c>
      <c r="D62" s="1441">
        <f>'Units&amp;Income'!H58</f>
        <v>0</v>
      </c>
      <c r="E62" s="1441">
        <f>'Units&amp;Income'!K58</f>
        <v>0</v>
      </c>
      <c r="F62" s="1442">
        <f>IF($F$5=30%,'Units&amp;Income'!K58,IF($F$5=40%,'Units&amp;Income'!R58,IF($F$5=50%,'Units&amp;Income'!Y58, IF($F$5=60%,'Units&amp;Income'!AF58, IF($F$5=80%,'Units&amp;Income'!AM58, 'Units&amp;Income'!AT58)))))</f>
        <v>0</v>
      </c>
      <c r="G62" s="1441">
        <f t="shared" si="8"/>
        <v>0</v>
      </c>
      <c r="H62" s="1441">
        <f t="shared" si="9"/>
        <v>0</v>
      </c>
      <c r="I62" s="1443">
        <f t="shared" si="10"/>
        <v>0</v>
      </c>
    </row>
    <row r="63" spans="1:9" ht="12.75" hidden="1" thickBot="1">
      <c r="A63" s="1951" t="str">
        <f>'Units&amp;Income'!B59</f>
        <v>3 BR - H</v>
      </c>
      <c r="B63" s="1951"/>
      <c r="C63" s="1793">
        <f>'Units&amp;Income'!A59</f>
        <v>3</v>
      </c>
      <c r="D63" s="1441">
        <f>'Units&amp;Income'!H59</f>
        <v>0</v>
      </c>
      <c r="E63" s="1441">
        <f>'Units&amp;Income'!K59</f>
        <v>0</v>
      </c>
      <c r="F63" s="1442">
        <f>IF($F$5=30%,'Units&amp;Income'!K59,IF($F$5=40%,'Units&amp;Income'!R59,IF($F$5=50%,'Units&amp;Income'!Y59, IF($F$5=60%,'Units&amp;Income'!AF59, IF($F$5=80%,'Units&amp;Income'!AM59, 'Units&amp;Income'!AT59)))))</f>
        <v>0</v>
      </c>
      <c r="G63" s="1441">
        <f t="shared" si="8"/>
        <v>0</v>
      </c>
      <c r="H63" s="1441">
        <f t="shared" si="9"/>
        <v>0</v>
      </c>
      <c r="I63" s="1443">
        <f t="shared" si="10"/>
        <v>0</v>
      </c>
    </row>
    <row r="64" spans="1:9" ht="12.75" hidden="1" thickBot="1">
      <c r="A64" s="1951" t="str">
        <f>'Units&amp;Income'!B60</f>
        <v>3 BR - I</v>
      </c>
      <c r="B64" s="1951"/>
      <c r="C64" s="1793">
        <f>'Units&amp;Income'!A60</f>
        <v>3</v>
      </c>
      <c r="D64" s="1441">
        <f>'Units&amp;Income'!H60</f>
        <v>0</v>
      </c>
      <c r="E64" s="1441">
        <f>'Units&amp;Income'!K60</f>
        <v>0</v>
      </c>
      <c r="F64" s="1442">
        <f>IF($F$5=30%,'Units&amp;Income'!K60,IF($F$5=40%,'Units&amp;Income'!R60,IF($F$5=50%,'Units&amp;Income'!Y60, IF($F$5=60%,'Units&amp;Income'!AF60, IF($F$5=80%,'Units&amp;Income'!AM60, 'Units&amp;Income'!AT60)))))</f>
        <v>0</v>
      </c>
      <c r="G64" s="1441">
        <f t="shared" si="8"/>
        <v>0</v>
      </c>
      <c r="H64" s="1441">
        <f t="shared" si="9"/>
        <v>0</v>
      </c>
      <c r="I64" s="1443">
        <f t="shared" si="10"/>
        <v>0</v>
      </c>
    </row>
    <row r="65" spans="1:9" ht="12.75" hidden="1" thickBot="1">
      <c r="A65" s="1951" t="str">
        <f>'Units&amp;Income'!B61</f>
        <v>3 BR - J</v>
      </c>
      <c r="B65" s="1951"/>
      <c r="C65" s="1793">
        <f>'Units&amp;Income'!A61</f>
        <v>3</v>
      </c>
      <c r="D65" s="1441">
        <f>'Units&amp;Income'!H61</f>
        <v>0</v>
      </c>
      <c r="E65" s="1441">
        <f>'Units&amp;Income'!K61</f>
        <v>0</v>
      </c>
      <c r="F65" s="1442">
        <f>IF($F$5=30%,'Units&amp;Income'!K61,IF($F$5=40%,'Units&amp;Income'!R61,IF($F$5=50%,'Units&amp;Income'!Y61, IF($F$5=60%,'Units&amp;Income'!AF61, IF($F$5=80%,'Units&amp;Income'!AM61, 'Units&amp;Income'!AT61)))))</f>
        <v>0</v>
      </c>
      <c r="G65" s="1441">
        <f t="shared" si="8"/>
        <v>0</v>
      </c>
      <c r="H65" s="1441">
        <f t="shared" si="9"/>
        <v>0</v>
      </c>
      <c r="I65" s="1443">
        <f t="shared" si="10"/>
        <v>0</v>
      </c>
    </row>
    <row r="66" spans="1:9" ht="12.75" hidden="1" thickBot="1">
      <c r="A66" s="1951" t="str">
        <f>'Units&amp;Income'!B62</f>
        <v>3 BR - K</v>
      </c>
      <c r="B66" s="1951"/>
      <c r="C66" s="1793">
        <f>'Units&amp;Income'!A62</f>
        <v>3</v>
      </c>
      <c r="D66" s="1441">
        <f>'Units&amp;Income'!H62</f>
        <v>0</v>
      </c>
      <c r="E66" s="1441">
        <f>'Units&amp;Income'!K62</f>
        <v>0</v>
      </c>
      <c r="F66" s="1442">
        <f>IF($F$5=30%,'Units&amp;Income'!K62,IF($F$5=40%,'Units&amp;Income'!R62,IF($F$5=50%,'Units&amp;Income'!Y62, IF($F$5=60%,'Units&amp;Income'!AF62, IF($F$5=80%,'Units&amp;Income'!AM62, 'Units&amp;Income'!AT62)))))</f>
        <v>0</v>
      </c>
      <c r="G66" s="1441">
        <f t="shared" si="8"/>
        <v>0</v>
      </c>
      <c r="H66" s="1441">
        <f t="shared" si="9"/>
        <v>0</v>
      </c>
      <c r="I66" s="1443">
        <f t="shared" si="10"/>
        <v>0</v>
      </c>
    </row>
    <row r="67" spans="1:9" ht="12.75" hidden="1" thickBot="1">
      <c r="A67" s="1951" t="str">
        <f>'Units&amp;Income'!B63</f>
        <v>3 BR - L</v>
      </c>
      <c r="B67" s="1951"/>
      <c r="C67" s="1793">
        <f>'Units&amp;Income'!A63</f>
        <v>3</v>
      </c>
      <c r="D67" s="1441">
        <f>'Units&amp;Income'!H63</f>
        <v>0</v>
      </c>
      <c r="E67" s="1441">
        <f>'Units&amp;Income'!K63</f>
        <v>0</v>
      </c>
      <c r="F67" s="1442">
        <f>IF($F$5=30%,'Units&amp;Income'!K63,IF($F$5=40%,'Units&amp;Income'!R63,IF($F$5=50%,'Units&amp;Income'!Y63, IF($F$5=60%,'Units&amp;Income'!AF63, IF($F$5=80%,'Units&amp;Income'!AM63, 'Units&amp;Income'!AT63)))))</f>
        <v>0</v>
      </c>
      <c r="G67" s="1441">
        <f t="shared" si="8"/>
        <v>0</v>
      </c>
      <c r="H67" s="1441">
        <f t="shared" si="9"/>
        <v>0</v>
      </c>
      <c r="I67" s="1443">
        <f t="shared" si="10"/>
        <v>0</v>
      </c>
    </row>
    <row r="68" spans="1:9" ht="12.75" hidden="1" thickBot="1">
      <c r="A68" s="1951" t="str">
        <f>'Units&amp;Income'!B64</f>
        <v>3 BR - M</v>
      </c>
      <c r="B68" s="1951"/>
      <c r="C68" s="1793">
        <f>'Units&amp;Income'!A64</f>
        <v>3</v>
      </c>
      <c r="D68" s="1441">
        <f>'Units&amp;Income'!H64</f>
        <v>0</v>
      </c>
      <c r="E68" s="1441">
        <f>'Units&amp;Income'!K64</f>
        <v>0</v>
      </c>
      <c r="F68" s="1442">
        <f>IF($F$5=30%,'Units&amp;Income'!K64,IF($F$5=40%,'Units&amp;Income'!R64,IF($F$5=50%,'Units&amp;Income'!Y64, IF($F$5=60%,'Units&amp;Income'!AF64, IF($F$5=80%,'Units&amp;Income'!AM64, 'Units&amp;Income'!AT64)))))</f>
        <v>0</v>
      </c>
      <c r="G68" s="1441">
        <f t="shared" si="8"/>
        <v>0</v>
      </c>
      <c r="H68" s="1441">
        <f t="shared" si="9"/>
        <v>0</v>
      </c>
      <c r="I68" s="1443">
        <f t="shared" si="10"/>
        <v>0</v>
      </c>
    </row>
    <row r="69" spans="1:9" ht="12.75" hidden="1" thickBot="1">
      <c r="A69" s="1951" t="str">
        <f>'Units&amp;Income'!B66</f>
        <v>4 BR - A</v>
      </c>
      <c r="B69" s="1951"/>
      <c r="C69" s="1793">
        <f>'Units&amp;Income'!A66</f>
        <v>4</v>
      </c>
      <c r="D69" s="1441">
        <f>'Units&amp;Income'!H66</f>
        <v>0</v>
      </c>
      <c r="E69" s="1441">
        <f>'Units&amp;Income'!K66</f>
        <v>0</v>
      </c>
      <c r="F69" s="1442">
        <f>IF($F$5=30%,'Units&amp;Income'!K66,IF($F$5=40%,'Units&amp;Income'!R66,IF($F$5=50%,'Units&amp;Income'!Y66, IF($F$5=60%,'Units&amp;Income'!AF66, IF($F$5=80%,'Units&amp;Income'!AM66, 'Units&amp;Income'!AT66)))))</f>
        <v>0</v>
      </c>
      <c r="G69" s="1441">
        <f>IF(D69&gt;0,F69-E69,0)</f>
        <v>0</v>
      </c>
      <c r="H69" s="1441">
        <f>G69*D69</f>
        <v>0</v>
      </c>
      <c r="I69" s="1443">
        <f>H69*12</f>
        <v>0</v>
      </c>
    </row>
    <row r="70" spans="1:9" ht="12.75" hidden="1" thickBot="1">
      <c r="A70" s="1951" t="str">
        <f>'Units&amp;Income'!B67</f>
        <v>4 BR - B</v>
      </c>
      <c r="B70" s="1951"/>
      <c r="C70" s="1793">
        <f>'Units&amp;Income'!A67</f>
        <v>4</v>
      </c>
      <c r="D70" s="1441">
        <f>'Units&amp;Income'!H67</f>
        <v>0</v>
      </c>
      <c r="E70" s="1441">
        <f>'Units&amp;Income'!K67</f>
        <v>0</v>
      </c>
      <c r="F70" s="1442">
        <f>IF($F$5=30%,'Units&amp;Income'!K67,IF($F$5=40%,'Units&amp;Income'!R67,IF($F$5=50%,'Units&amp;Income'!Y67, IF($F$5=60%,'Units&amp;Income'!AF67, IF($F$5=80%,'Units&amp;Income'!AM67, 'Units&amp;Income'!AT67)))))</f>
        <v>0</v>
      </c>
      <c r="G70" s="1441">
        <f t="shared" ref="G70:G81" si="11">IF(D70&gt;0,F70-E70,0)</f>
        <v>0</v>
      </c>
      <c r="H70" s="1441">
        <f t="shared" ref="H70:H81" si="12">G70*D70</f>
        <v>0</v>
      </c>
      <c r="I70" s="1443">
        <f t="shared" ref="I70:I81" si="13">H70*12</f>
        <v>0</v>
      </c>
    </row>
    <row r="71" spans="1:9" ht="12.75" hidden="1" thickBot="1">
      <c r="A71" s="1951" t="str">
        <f>'Units&amp;Income'!B68</f>
        <v>4 BR - C</v>
      </c>
      <c r="B71" s="1951"/>
      <c r="C71" s="1793">
        <f>'Units&amp;Income'!A68</f>
        <v>4</v>
      </c>
      <c r="D71" s="1441">
        <f>'Units&amp;Income'!H68</f>
        <v>0</v>
      </c>
      <c r="E71" s="1441">
        <f>'Units&amp;Income'!K68</f>
        <v>0</v>
      </c>
      <c r="F71" s="1442">
        <f>IF($F$5=30%,'Units&amp;Income'!K68,IF($F$5=40%,'Units&amp;Income'!R68,IF($F$5=50%,'Units&amp;Income'!Y68, IF($F$5=60%,'Units&amp;Income'!AF68, IF($F$5=80%,'Units&amp;Income'!AM68, 'Units&amp;Income'!AT68)))))</f>
        <v>0</v>
      </c>
      <c r="G71" s="1441">
        <f t="shared" si="11"/>
        <v>0</v>
      </c>
      <c r="H71" s="1441">
        <f t="shared" si="12"/>
        <v>0</v>
      </c>
      <c r="I71" s="1443">
        <f t="shared" si="13"/>
        <v>0</v>
      </c>
    </row>
    <row r="72" spans="1:9" ht="12.75" hidden="1" thickBot="1">
      <c r="A72" s="1951" t="str">
        <f>'Units&amp;Income'!B69</f>
        <v>4 BR - D</v>
      </c>
      <c r="B72" s="1951"/>
      <c r="C72" s="1793">
        <f>'Units&amp;Income'!A69</f>
        <v>4</v>
      </c>
      <c r="D72" s="1441">
        <f>'Units&amp;Income'!H69</f>
        <v>0</v>
      </c>
      <c r="E72" s="1441">
        <f>'Units&amp;Income'!K69</f>
        <v>0</v>
      </c>
      <c r="F72" s="1442">
        <f>IF($F$5=30%,'Units&amp;Income'!K69,IF($F$5=40%,'Units&amp;Income'!R69,IF($F$5=50%,'Units&amp;Income'!Y69, IF($F$5=60%,'Units&amp;Income'!AF69, IF($F$5=80%,'Units&amp;Income'!AM69, 'Units&amp;Income'!AT69)))))</f>
        <v>0</v>
      </c>
      <c r="G72" s="1441">
        <f t="shared" si="11"/>
        <v>0</v>
      </c>
      <c r="H72" s="1441">
        <f t="shared" si="12"/>
        <v>0</v>
      </c>
      <c r="I72" s="1443">
        <f t="shared" si="13"/>
        <v>0</v>
      </c>
    </row>
    <row r="73" spans="1:9" ht="12.75" hidden="1" thickBot="1">
      <c r="A73" s="1951" t="str">
        <f>'Units&amp;Income'!B70</f>
        <v>4 BR - E</v>
      </c>
      <c r="B73" s="1951"/>
      <c r="C73" s="1793">
        <f>'Units&amp;Income'!A70</f>
        <v>4</v>
      </c>
      <c r="D73" s="1441">
        <f>'Units&amp;Income'!H70</f>
        <v>0</v>
      </c>
      <c r="E73" s="1441">
        <f>'Units&amp;Income'!K70</f>
        <v>0</v>
      </c>
      <c r="F73" s="1442">
        <f>IF($F$5=30%,'Units&amp;Income'!K70,IF($F$5=40%,'Units&amp;Income'!R70,IF($F$5=50%,'Units&amp;Income'!Y70, IF($F$5=60%,'Units&amp;Income'!AF70, IF($F$5=80%,'Units&amp;Income'!AM70, 'Units&amp;Income'!AT70)))))</f>
        <v>0</v>
      </c>
      <c r="G73" s="1441">
        <f t="shared" si="11"/>
        <v>0</v>
      </c>
      <c r="H73" s="1441">
        <f t="shared" si="12"/>
        <v>0</v>
      </c>
      <c r="I73" s="1443">
        <f t="shared" si="13"/>
        <v>0</v>
      </c>
    </row>
    <row r="74" spans="1:9" ht="12.75" hidden="1" thickBot="1">
      <c r="A74" s="1951" t="str">
        <f>'Units&amp;Income'!B71</f>
        <v>4 BR - F</v>
      </c>
      <c r="B74" s="1951"/>
      <c r="C74" s="1793">
        <f>'Units&amp;Income'!A71</f>
        <v>4</v>
      </c>
      <c r="D74" s="1441">
        <f>'Units&amp;Income'!H71</f>
        <v>0</v>
      </c>
      <c r="E74" s="1441">
        <f>'Units&amp;Income'!K71</f>
        <v>0</v>
      </c>
      <c r="F74" s="1442">
        <f>IF($F$5=30%,'Units&amp;Income'!K71,IF($F$5=40%,'Units&amp;Income'!R71,IF($F$5=50%,'Units&amp;Income'!Y71, IF($F$5=60%,'Units&amp;Income'!AF71, IF($F$5=80%,'Units&amp;Income'!AM71, 'Units&amp;Income'!AT71)))))</f>
        <v>0</v>
      </c>
      <c r="G74" s="1441">
        <f t="shared" si="11"/>
        <v>0</v>
      </c>
      <c r="H74" s="1441">
        <f t="shared" si="12"/>
        <v>0</v>
      </c>
      <c r="I74" s="1443">
        <f t="shared" si="13"/>
        <v>0</v>
      </c>
    </row>
    <row r="75" spans="1:9" ht="12.75" hidden="1" thickBot="1">
      <c r="A75" s="1951" t="str">
        <f>'Units&amp;Income'!B72</f>
        <v>4 BR - G</v>
      </c>
      <c r="B75" s="1951"/>
      <c r="C75" s="1793">
        <f>'Units&amp;Income'!A72</f>
        <v>4</v>
      </c>
      <c r="D75" s="1441">
        <f>'Units&amp;Income'!H72</f>
        <v>0</v>
      </c>
      <c r="E75" s="1441">
        <f>'Units&amp;Income'!K72</f>
        <v>0</v>
      </c>
      <c r="F75" s="1442">
        <f>IF($F$5=30%,'Units&amp;Income'!K72,IF($F$5=40%,'Units&amp;Income'!R72,IF($F$5=50%,'Units&amp;Income'!Y72, IF($F$5=60%,'Units&amp;Income'!AF72, IF($F$5=80%,'Units&amp;Income'!AM72, 'Units&amp;Income'!AT72)))))</f>
        <v>0</v>
      </c>
      <c r="G75" s="1441">
        <f t="shared" si="11"/>
        <v>0</v>
      </c>
      <c r="H75" s="1441">
        <f t="shared" si="12"/>
        <v>0</v>
      </c>
      <c r="I75" s="1443">
        <f t="shared" si="13"/>
        <v>0</v>
      </c>
    </row>
    <row r="76" spans="1:9" ht="12.75" hidden="1" thickBot="1">
      <c r="A76" s="1951" t="str">
        <f>'Units&amp;Income'!B73</f>
        <v>4 BR - H</v>
      </c>
      <c r="B76" s="1951"/>
      <c r="C76" s="1793">
        <f>'Units&amp;Income'!A73</f>
        <v>4</v>
      </c>
      <c r="D76" s="1441">
        <f>'Units&amp;Income'!H73</f>
        <v>0</v>
      </c>
      <c r="E76" s="1441">
        <f>'Units&amp;Income'!K73</f>
        <v>0</v>
      </c>
      <c r="F76" s="1442">
        <f>IF($F$5=30%,'Units&amp;Income'!K73,IF($F$5=40%,'Units&amp;Income'!R73,IF($F$5=50%,'Units&amp;Income'!Y73, IF($F$5=60%,'Units&amp;Income'!AF73, IF($F$5=80%,'Units&amp;Income'!AM73, 'Units&amp;Income'!AT73)))))</f>
        <v>0</v>
      </c>
      <c r="G76" s="1441">
        <f t="shared" si="11"/>
        <v>0</v>
      </c>
      <c r="H76" s="1441">
        <f t="shared" si="12"/>
        <v>0</v>
      </c>
      <c r="I76" s="1443">
        <f t="shared" si="13"/>
        <v>0</v>
      </c>
    </row>
    <row r="77" spans="1:9" ht="12.75" hidden="1" thickBot="1">
      <c r="A77" s="1951" t="str">
        <f>'Units&amp;Income'!B74</f>
        <v>4 BR - I</v>
      </c>
      <c r="B77" s="1951"/>
      <c r="C77" s="1793">
        <f>'Units&amp;Income'!A74</f>
        <v>4</v>
      </c>
      <c r="D77" s="1441">
        <f>'Units&amp;Income'!H74</f>
        <v>0</v>
      </c>
      <c r="E77" s="1441">
        <f>'Units&amp;Income'!K74</f>
        <v>0</v>
      </c>
      <c r="F77" s="1442">
        <f>IF($F$5=30%,'Units&amp;Income'!K74,IF($F$5=40%,'Units&amp;Income'!R74,IF($F$5=50%,'Units&amp;Income'!Y74, IF($F$5=60%,'Units&amp;Income'!AF74, IF($F$5=80%,'Units&amp;Income'!AM74, 'Units&amp;Income'!AT74)))))</f>
        <v>0</v>
      </c>
      <c r="G77" s="1441">
        <f t="shared" si="11"/>
        <v>0</v>
      </c>
      <c r="H77" s="1441">
        <f t="shared" si="12"/>
        <v>0</v>
      </c>
      <c r="I77" s="1443">
        <f t="shared" si="13"/>
        <v>0</v>
      </c>
    </row>
    <row r="78" spans="1:9" ht="12.75" hidden="1" thickBot="1">
      <c r="A78" s="1951" t="str">
        <f>'Units&amp;Income'!B75</f>
        <v>4 BR - J</v>
      </c>
      <c r="B78" s="1951"/>
      <c r="C78" s="1793">
        <f>'Units&amp;Income'!A75</f>
        <v>4</v>
      </c>
      <c r="D78" s="1441">
        <f>'Units&amp;Income'!H75</f>
        <v>0</v>
      </c>
      <c r="E78" s="1441">
        <f>'Units&amp;Income'!K75</f>
        <v>0</v>
      </c>
      <c r="F78" s="1442">
        <f>IF($F$5=30%,'Units&amp;Income'!K75,IF($F$5=40%,'Units&amp;Income'!R75,IF($F$5=50%,'Units&amp;Income'!Y75, IF($F$5=60%,'Units&amp;Income'!AF75, IF($F$5=80%,'Units&amp;Income'!AM75, 'Units&amp;Income'!AT75)))))</f>
        <v>0</v>
      </c>
      <c r="G78" s="1441">
        <f t="shared" si="11"/>
        <v>0</v>
      </c>
      <c r="H78" s="1441">
        <f t="shared" si="12"/>
        <v>0</v>
      </c>
      <c r="I78" s="1443">
        <f t="shared" si="13"/>
        <v>0</v>
      </c>
    </row>
    <row r="79" spans="1:9" ht="12.75" hidden="1" thickBot="1">
      <c r="A79" s="1951" t="str">
        <f>'Units&amp;Income'!B76</f>
        <v>4 BR - K</v>
      </c>
      <c r="B79" s="1951"/>
      <c r="C79" s="1793">
        <f>'Units&amp;Income'!A76</f>
        <v>4</v>
      </c>
      <c r="D79" s="1441">
        <f>'Units&amp;Income'!H76</f>
        <v>0</v>
      </c>
      <c r="E79" s="1441">
        <f>'Units&amp;Income'!K76</f>
        <v>0</v>
      </c>
      <c r="F79" s="1442">
        <f>IF($F$5=30%,'Units&amp;Income'!K76,IF($F$5=40%,'Units&amp;Income'!R76,IF($F$5=50%,'Units&amp;Income'!Y76, IF($F$5=60%,'Units&amp;Income'!AF76, IF($F$5=80%,'Units&amp;Income'!AM76, 'Units&amp;Income'!AT76)))))</f>
        <v>0</v>
      </c>
      <c r="G79" s="1441">
        <f t="shared" si="11"/>
        <v>0</v>
      </c>
      <c r="H79" s="1441">
        <f t="shared" si="12"/>
        <v>0</v>
      </c>
      <c r="I79" s="1443">
        <f t="shared" si="13"/>
        <v>0</v>
      </c>
    </row>
    <row r="80" spans="1:9" ht="12.75" hidden="1" thickBot="1">
      <c r="A80" s="1951" t="str">
        <f>'Units&amp;Income'!B77</f>
        <v>4 BR - L</v>
      </c>
      <c r="B80" s="1951"/>
      <c r="C80" s="1793">
        <f>'Units&amp;Income'!A77</f>
        <v>4</v>
      </c>
      <c r="D80" s="1441">
        <f>'Units&amp;Income'!H77</f>
        <v>0</v>
      </c>
      <c r="E80" s="1441">
        <f>'Units&amp;Income'!K77</f>
        <v>0</v>
      </c>
      <c r="F80" s="1442">
        <f>IF($F$5=30%,'Units&amp;Income'!K77,IF($F$5=40%,'Units&amp;Income'!R77,IF($F$5=50%,'Units&amp;Income'!Y77, IF($F$5=60%,'Units&amp;Income'!AF77, IF($F$5=80%,'Units&amp;Income'!AM77, 'Units&amp;Income'!AT77)))))</f>
        <v>0</v>
      </c>
      <c r="G80" s="1441">
        <f t="shared" si="11"/>
        <v>0</v>
      </c>
      <c r="H80" s="1441">
        <f t="shared" si="12"/>
        <v>0</v>
      </c>
      <c r="I80" s="1443">
        <f t="shared" si="13"/>
        <v>0</v>
      </c>
    </row>
    <row r="81" spans="1:9" ht="12.75" hidden="1" thickBot="1">
      <c r="A81" s="1951" t="str">
        <f>'Units&amp;Income'!B78</f>
        <v>4 BR - M</v>
      </c>
      <c r="B81" s="1951"/>
      <c r="C81" s="1793">
        <f>'Units&amp;Income'!A78</f>
        <v>4</v>
      </c>
      <c r="D81" s="1441">
        <f>'Units&amp;Income'!H78</f>
        <v>0</v>
      </c>
      <c r="E81" s="1441">
        <f>'Units&amp;Income'!K78</f>
        <v>0</v>
      </c>
      <c r="F81" s="1442">
        <f>IF($F$5=30%,'Units&amp;Income'!K78,IF($F$5=40%,'Units&amp;Income'!R78,IF($F$5=50%,'Units&amp;Income'!Y78, IF($F$5=60%,'Units&amp;Income'!AF78, IF($F$5=80%,'Units&amp;Income'!AM78, 'Units&amp;Income'!AT78)))))</f>
        <v>0</v>
      </c>
      <c r="G81" s="1441">
        <f t="shared" si="11"/>
        <v>0</v>
      </c>
      <c r="H81" s="1441">
        <f t="shared" si="12"/>
        <v>0</v>
      </c>
      <c r="I81" s="1443">
        <f t="shared" si="13"/>
        <v>0</v>
      </c>
    </row>
    <row r="82" spans="1:9" ht="12.75" hidden="1" thickBot="1">
      <c r="A82" s="1951" t="str">
        <f>'Units&amp;Income'!B80</f>
        <v>5 BR - A</v>
      </c>
      <c r="B82" s="1951"/>
      <c r="C82" s="1793">
        <f>'Units&amp;Income'!A80</f>
        <v>5</v>
      </c>
      <c r="D82" s="1441">
        <f>'Units&amp;Income'!H80</f>
        <v>0</v>
      </c>
      <c r="E82" s="1441">
        <f>'Units&amp;Income'!K80</f>
        <v>0</v>
      </c>
      <c r="F82" s="1442">
        <f>IF($F$5=30%,'Units&amp;Income'!K80,IF($F$5=40%,'Units&amp;Income'!R80,IF($F$5=50%,'Units&amp;Income'!Y80, IF($F$5=60%,'Units&amp;Income'!AF80, IF($F$5=80%,'Units&amp;Income'!AM80, 'Units&amp;Income'!AT80)))))</f>
        <v>0</v>
      </c>
      <c r="G82" s="1441">
        <f>IF(D82&gt;0,F82-E82,0)</f>
        <v>0</v>
      </c>
      <c r="H82" s="1441">
        <f>G82*D82</f>
        <v>0</v>
      </c>
      <c r="I82" s="1443">
        <f>H82*12</f>
        <v>0</v>
      </c>
    </row>
    <row r="83" spans="1:9" ht="12.75" hidden="1" thickBot="1">
      <c r="A83" s="1951" t="str">
        <f>'Units&amp;Income'!B81</f>
        <v>5 BR - B</v>
      </c>
      <c r="B83" s="1951"/>
      <c r="C83" s="1793">
        <f>'Units&amp;Income'!A81</f>
        <v>5</v>
      </c>
      <c r="D83" s="1441">
        <f>'Units&amp;Income'!H81</f>
        <v>0</v>
      </c>
      <c r="E83" s="1441">
        <f>'Units&amp;Income'!K81</f>
        <v>0</v>
      </c>
      <c r="F83" s="1442">
        <f>IF($F$5=30%,'Units&amp;Income'!K81,IF($F$5=40%,'Units&amp;Income'!R81,IF($F$5=50%,'Units&amp;Income'!Y81, IF($F$5=60%,'Units&amp;Income'!AF81, IF($F$5=80%,'Units&amp;Income'!AM81, 'Units&amp;Income'!AT81)))))</f>
        <v>0</v>
      </c>
      <c r="G83" s="1441">
        <f t="shared" ref="G83:G94" si="14">IF(D83&gt;0,F83-E83,0)</f>
        <v>0</v>
      </c>
      <c r="H83" s="1441">
        <f t="shared" ref="H83:H94" si="15">G83*D83</f>
        <v>0</v>
      </c>
      <c r="I83" s="1443">
        <f t="shared" ref="I83:I94" si="16">H83*12</f>
        <v>0</v>
      </c>
    </row>
    <row r="84" spans="1:9" ht="12.75" hidden="1" thickBot="1">
      <c r="A84" s="1951" t="str">
        <f>'Units&amp;Income'!B82</f>
        <v>5 BR - C</v>
      </c>
      <c r="B84" s="1951"/>
      <c r="C84" s="1793">
        <f>'Units&amp;Income'!A82</f>
        <v>5</v>
      </c>
      <c r="D84" s="1441">
        <f>'Units&amp;Income'!H82</f>
        <v>0</v>
      </c>
      <c r="E84" s="1441">
        <f>'Units&amp;Income'!K82</f>
        <v>0</v>
      </c>
      <c r="F84" s="1442">
        <f>IF($F$5=30%,'Units&amp;Income'!K82,IF($F$5=40%,'Units&amp;Income'!R82,IF($F$5=50%,'Units&amp;Income'!Y82, IF($F$5=60%,'Units&amp;Income'!AF82, IF($F$5=80%,'Units&amp;Income'!AM82, 'Units&amp;Income'!AT82)))))</f>
        <v>0</v>
      </c>
      <c r="G84" s="1441">
        <f t="shared" si="14"/>
        <v>0</v>
      </c>
      <c r="H84" s="1441">
        <f t="shared" si="15"/>
        <v>0</v>
      </c>
      <c r="I84" s="1443">
        <f t="shared" si="16"/>
        <v>0</v>
      </c>
    </row>
    <row r="85" spans="1:9" ht="12.75" hidden="1" thickBot="1">
      <c r="A85" s="1951" t="str">
        <f>'Units&amp;Income'!B83</f>
        <v>5 BR - D</v>
      </c>
      <c r="B85" s="1951"/>
      <c r="C85" s="1793">
        <f>'Units&amp;Income'!A83</f>
        <v>5</v>
      </c>
      <c r="D85" s="1441">
        <f>'Units&amp;Income'!H83</f>
        <v>0</v>
      </c>
      <c r="E85" s="1441">
        <f>'Units&amp;Income'!K83</f>
        <v>0</v>
      </c>
      <c r="F85" s="1442">
        <f>IF($F$5=30%,'Units&amp;Income'!K83,IF($F$5=40%,'Units&amp;Income'!R83,IF($F$5=50%,'Units&amp;Income'!Y83, IF($F$5=60%,'Units&amp;Income'!AF83, IF($F$5=80%,'Units&amp;Income'!AM83, 'Units&amp;Income'!AT83)))))</f>
        <v>0</v>
      </c>
      <c r="G85" s="1441">
        <f t="shared" si="14"/>
        <v>0</v>
      </c>
      <c r="H85" s="1441">
        <f t="shared" si="15"/>
        <v>0</v>
      </c>
      <c r="I85" s="1443">
        <f t="shared" si="16"/>
        <v>0</v>
      </c>
    </row>
    <row r="86" spans="1:9" ht="12.75" hidden="1" thickBot="1">
      <c r="A86" s="1951" t="str">
        <f>'Units&amp;Income'!B84</f>
        <v>5 BR - E</v>
      </c>
      <c r="B86" s="1951"/>
      <c r="C86" s="1793">
        <f>'Units&amp;Income'!A84</f>
        <v>5</v>
      </c>
      <c r="D86" s="1441">
        <f>'Units&amp;Income'!H84</f>
        <v>0</v>
      </c>
      <c r="E86" s="1441">
        <f>'Units&amp;Income'!K84</f>
        <v>0</v>
      </c>
      <c r="F86" s="1442">
        <f>IF($F$5=30%,'Units&amp;Income'!K84,IF($F$5=40%,'Units&amp;Income'!R84,IF($F$5=50%,'Units&amp;Income'!Y84, IF($F$5=60%,'Units&amp;Income'!AF84, IF($F$5=80%,'Units&amp;Income'!AM84, 'Units&amp;Income'!AT84)))))</f>
        <v>0</v>
      </c>
      <c r="G86" s="1441">
        <f t="shared" si="14"/>
        <v>0</v>
      </c>
      <c r="H86" s="1441">
        <f t="shared" si="15"/>
        <v>0</v>
      </c>
      <c r="I86" s="1443">
        <f t="shared" si="16"/>
        <v>0</v>
      </c>
    </row>
    <row r="87" spans="1:9" ht="12.75" hidden="1" thickBot="1">
      <c r="A87" s="1951" t="str">
        <f>'Units&amp;Income'!B85</f>
        <v>5 BR - F</v>
      </c>
      <c r="B87" s="1951"/>
      <c r="C87" s="1793">
        <f>'Units&amp;Income'!A85</f>
        <v>5</v>
      </c>
      <c r="D87" s="1441">
        <f>'Units&amp;Income'!H85</f>
        <v>0</v>
      </c>
      <c r="E87" s="1441">
        <f>'Units&amp;Income'!K85</f>
        <v>0</v>
      </c>
      <c r="F87" s="1442">
        <f>IF($F$5=30%,'Units&amp;Income'!K85,IF($F$5=40%,'Units&amp;Income'!R85,IF($F$5=50%,'Units&amp;Income'!Y85, IF($F$5=60%,'Units&amp;Income'!AF85, IF($F$5=80%,'Units&amp;Income'!AM85, 'Units&amp;Income'!AT85)))))</f>
        <v>0</v>
      </c>
      <c r="G87" s="1441">
        <f t="shared" si="14"/>
        <v>0</v>
      </c>
      <c r="H87" s="1441">
        <f t="shared" si="15"/>
        <v>0</v>
      </c>
      <c r="I87" s="1443">
        <f t="shared" si="16"/>
        <v>0</v>
      </c>
    </row>
    <row r="88" spans="1:9" ht="12.75" hidden="1" thickBot="1">
      <c r="A88" s="1951" t="str">
        <f>'Units&amp;Income'!B86</f>
        <v>5 BR - G</v>
      </c>
      <c r="B88" s="1951"/>
      <c r="C88" s="1793">
        <f>'Units&amp;Income'!A86</f>
        <v>5</v>
      </c>
      <c r="D88" s="1441">
        <f>'Units&amp;Income'!H86</f>
        <v>0</v>
      </c>
      <c r="E88" s="1441">
        <f>'Units&amp;Income'!K86</f>
        <v>0</v>
      </c>
      <c r="F88" s="1442">
        <f>IF($F$5=30%,'Units&amp;Income'!K86,IF($F$5=40%,'Units&amp;Income'!R86,IF($F$5=50%,'Units&amp;Income'!Y86, IF($F$5=60%,'Units&amp;Income'!AF86, IF($F$5=80%,'Units&amp;Income'!AM86, 'Units&amp;Income'!AT86)))))</f>
        <v>0</v>
      </c>
      <c r="G88" s="1441">
        <f t="shared" si="14"/>
        <v>0</v>
      </c>
      <c r="H88" s="1441">
        <f t="shared" si="15"/>
        <v>0</v>
      </c>
      <c r="I88" s="1443">
        <f t="shared" si="16"/>
        <v>0</v>
      </c>
    </row>
    <row r="89" spans="1:9" ht="12.75" hidden="1" thickBot="1">
      <c r="A89" s="1951" t="str">
        <f>'Units&amp;Income'!B87</f>
        <v>5 BR - H</v>
      </c>
      <c r="B89" s="1951"/>
      <c r="C89" s="1793">
        <f>'Units&amp;Income'!A87</f>
        <v>5</v>
      </c>
      <c r="D89" s="1441">
        <f>'Units&amp;Income'!H87</f>
        <v>0</v>
      </c>
      <c r="E89" s="1441">
        <f>'Units&amp;Income'!K87</f>
        <v>0</v>
      </c>
      <c r="F89" s="1442">
        <f>IF($F$5=30%,'Units&amp;Income'!K87,IF($F$5=40%,'Units&amp;Income'!R87,IF($F$5=50%,'Units&amp;Income'!Y87, IF($F$5=60%,'Units&amp;Income'!AF87, IF($F$5=80%,'Units&amp;Income'!AM87, 'Units&amp;Income'!AT87)))))</f>
        <v>0</v>
      </c>
      <c r="G89" s="1441">
        <f t="shared" si="14"/>
        <v>0</v>
      </c>
      <c r="H89" s="1441">
        <f t="shared" si="15"/>
        <v>0</v>
      </c>
      <c r="I89" s="1443">
        <f t="shared" si="16"/>
        <v>0</v>
      </c>
    </row>
    <row r="90" spans="1:9" ht="12.75" hidden="1" thickBot="1">
      <c r="A90" s="1951" t="str">
        <f>'Units&amp;Income'!B88</f>
        <v>5 BR - I</v>
      </c>
      <c r="B90" s="1951"/>
      <c r="C90" s="1793">
        <f>'Units&amp;Income'!A88</f>
        <v>5</v>
      </c>
      <c r="D90" s="1441">
        <f>'Units&amp;Income'!H88</f>
        <v>0</v>
      </c>
      <c r="E90" s="1441">
        <f>'Units&amp;Income'!K88</f>
        <v>0</v>
      </c>
      <c r="F90" s="1442">
        <f>IF($F$5=30%,'Units&amp;Income'!K88,IF($F$5=40%,'Units&amp;Income'!R88,IF($F$5=50%,'Units&amp;Income'!Y88, IF($F$5=60%,'Units&amp;Income'!AF88, IF($F$5=80%,'Units&amp;Income'!AM88, 'Units&amp;Income'!AT88)))))</f>
        <v>0</v>
      </c>
      <c r="G90" s="1441">
        <f t="shared" si="14"/>
        <v>0</v>
      </c>
      <c r="H90" s="1441">
        <f t="shared" si="15"/>
        <v>0</v>
      </c>
      <c r="I90" s="1443">
        <f t="shared" si="16"/>
        <v>0</v>
      </c>
    </row>
    <row r="91" spans="1:9" ht="12.75" hidden="1" thickBot="1">
      <c r="A91" s="1951" t="str">
        <f>'Units&amp;Income'!B89</f>
        <v>5 BR - J</v>
      </c>
      <c r="B91" s="1951"/>
      <c r="C91" s="1793">
        <f>'Units&amp;Income'!A89</f>
        <v>5</v>
      </c>
      <c r="D91" s="1441">
        <f>'Units&amp;Income'!H89</f>
        <v>0</v>
      </c>
      <c r="E91" s="1441">
        <f>'Units&amp;Income'!K89</f>
        <v>0</v>
      </c>
      <c r="F91" s="1442">
        <f>IF($F$5=30%,'Units&amp;Income'!K89,IF($F$5=40%,'Units&amp;Income'!R89,IF($F$5=50%,'Units&amp;Income'!Y89, IF($F$5=60%,'Units&amp;Income'!AF89, IF($F$5=80%,'Units&amp;Income'!AM89, 'Units&amp;Income'!AT89)))))</f>
        <v>0</v>
      </c>
      <c r="G91" s="1441">
        <f t="shared" si="14"/>
        <v>0</v>
      </c>
      <c r="H91" s="1441">
        <f t="shared" si="15"/>
        <v>0</v>
      </c>
      <c r="I91" s="1443">
        <f t="shared" si="16"/>
        <v>0</v>
      </c>
    </row>
    <row r="92" spans="1:9" ht="12.75" hidden="1" thickBot="1">
      <c r="A92" s="1951" t="str">
        <f>'Units&amp;Income'!B90</f>
        <v>5 BR - K</v>
      </c>
      <c r="B92" s="1951"/>
      <c r="C92" s="1793">
        <f>'Units&amp;Income'!A90</f>
        <v>5</v>
      </c>
      <c r="D92" s="1441">
        <f>'Units&amp;Income'!H90</f>
        <v>0</v>
      </c>
      <c r="E92" s="1441">
        <f>'Units&amp;Income'!K90</f>
        <v>0</v>
      </c>
      <c r="F92" s="1442">
        <f>IF($F$5=30%,'Units&amp;Income'!K90,IF($F$5=40%,'Units&amp;Income'!R90,IF($F$5=50%,'Units&amp;Income'!Y90, IF($F$5=60%,'Units&amp;Income'!AF90, IF($F$5=80%,'Units&amp;Income'!AM90, 'Units&amp;Income'!AT90)))))</f>
        <v>0</v>
      </c>
      <c r="G92" s="1441">
        <f t="shared" si="14"/>
        <v>0</v>
      </c>
      <c r="H92" s="1441">
        <f t="shared" si="15"/>
        <v>0</v>
      </c>
      <c r="I92" s="1443">
        <f t="shared" si="16"/>
        <v>0</v>
      </c>
    </row>
    <row r="93" spans="1:9" ht="12.75" hidden="1" thickBot="1">
      <c r="A93" s="1951" t="str">
        <f>'Units&amp;Income'!B91</f>
        <v>5 BR - L</v>
      </c>
      <c r="B93" s="1951"/>
      <c r="C93" s="1793">
        <f>'Units&amp;Income'!A91</f>
        <v>5</v>
      </c>
      <c r="D93" s="1441">
        <f>'Units&amp;Income'!H91</f>
        <v>0</v>
      </c>
      <c r="E93" s="1441">
        <f>'Units&amp;Income'!K91</f>
        <v>0</v>
      </c>
      <c r="F93" s="1442">
        <f>IF($F$5=30%,'Units&amp;Income'!K91,IF($F$5=40%,'Units&amp;Income'!R91,IF($F$5=50%,'Units&amp;Income'!Y91, IF($F$5=60%,'Units&amp;Income'!AF91, IF($F$5=80%,'Units&amp;Income'!AM91, 'Units&amp;Income'!AT91)))))</f>
        <v>0</v>
      </c>
      <c r="G93" s="1441">
        <f t="shared" si="14"/>
        <v>0</v>
      </c>
      <c r="H93" s="1441">
        <f t="shared" si="15"/>
        <v>0</v>
      </c>
      <c r="I93" s="1443">
        <f t="shared" si="16"/>
        <v>0</v>
      </c>
    </row>
    <row r="94" spans="1:9" ht="12.75" hidden="1" thickBot="1">
      <c r="A94" s="1951" t="str">
        <f>'Units&amp;Income'!B92</f>
        <v>5 BR - M</v>
      </c>
      <c r="B94" s="1951"/>
      <c r="C94" s="1793">
        <f>'Units&amp;Income'!A92</f>
        <v>5</v>
      </c>
      <c r="D94" s="1441">
        <f>'Units&amp;Income'!H92</f>
        <v>0</v>
      </c>
      <c r="E94" s="1441">
        <f>'Units&amp;Income'!K92</f>
        <v>0</v>
      </c>
      <c r="F94" s="1442">
        <f>IF($F$5=30%,'Units&amp;Income'!K92,IF($F$5=40%,'Units&amp;Income'!R92,IF($F$5=50%,'Units&amp;Income'!Y92, IF($F$5=60%,'Units&amp;Income'!AF92, IF($F$5=80%,'Units&amp;Income'!AM92, 'Units&amp;Income'!AT92)))))</f>
        <v>0</v>
      </c>
      <c r="G94" s="1441">
        <f t="shared" si="14"/>
        <v>0</v>
      </c>
      <c r="H94" s="1441">
        <f t="shared" si="15"/>
        <v>0</v>
      </c>
      <c r="I94" s="1443">
        <f t="shared" si="16"/>
        <v>0</v>
      </c>
    </row>
    <row r="95" spans="1:9" s="366" customFormat="1" ht="12.75" thickBot="1">
      <c r="A95" s="1952" t="s">
        <v>725</v>
      </c>
      <c r="B95" s="1952"/>
      <c r="C95" s="795"/>
      <c r="D95" s="796">
        <f>SUM(D17:D94)</f>
        <v>0</v>
      </c>
      <c r="E95" s="796">
        <f>'Units&amp;Income'!K94</f>
        <v>0</v>
      </c>
      <c r="F95" s="797">
        <f>+E95+G95</f>
        <v>0</v>
      </c>
      <c r="G95" s="796">
        <f>SUM(G17:G94)</f>
        <v>0</v>
      </c>
      <c r="H95" s="796">
        <f>SUM(H17:H94)</f>
        <v>0</v>
      </c>
      <c r="I95" s="798">
        <f>SUM(I17:I94)</f>
        <v>0</v>
      </c>
    </row>
    <row r="96" spans="1:9" ht="12.75" hidden="1" thickBot="1">
      <c r="A96" s="1953" t="s">
        <v>726</v>
      </c>
      <c r="B96" s="1953"/>
      <c r="C96" s="1953"/>
      <c r="D96" s="1953"/>
      <c r="E96" s="367"/>
      <c r="F96" s="368">
        <v>0</v>
      </c>
      <c r="G96" s="1444"/>
      <c r="H96" s="1444"/>
      <c r="I96" s="369">
        <f>I95*-F96</f>
        <v>0</v>
      </c>
    </row>
    <row r="97" spans="1:9" ht="13.5" thickTop="1" thickBot="1">
      <c r="A97" s="1954" t="s">
        <v>727</v>
      </c>
      <c r="B97" s="1954"/>
      <c r="C97" s="1954"/>
      <c r="D97" s="1444"/>
      <c r="E97" s="1444"/>
      <c r="F97" s="1445"/>
      <c r="G97" s="1444"/>
      <c r="H97" s="1444"/>
      <c r="I97" s="1446">
        <f>I95+I96</f>
        <v>0</v>
      </c>
    </row>
    <row r="98" spans="1:9">
      <c r="A98" s="366"/>
      <c r="B98" s="366"/>
      <c r="C98" s="1426"/>
      <c r="D98" s="366"/>
      <c r="E98" s="1427"/>
      <c r="F98" s="1805"/>
      <c r="G98" s="1427"/>
      <c r="H98" s="1427"/>
      <c r="I98" s="366"/>
    </row>
    <row r="99" spans="1:9">
      <c r="A99" s="371" t="s">
        <v>728</v>
      </c>
      <c r="B99" s="366"/>
      <c r="C99" s="1426"/>
      <c r="D99" s="1427"/>
      <c r="E99" s="1427"/>
      <c r="F99" s="1805"/>
      <c r="G99" s="1427"/>
      <c r="H99" s="1427"/>
      <c r="I99" s="366"/>
    </row>
    <row r="100" spans="1:9">
      <c r="A100" s="366"/>
      <c r="B100" s="366" t="s">
        <v>729</v>
      </c>
      <c r="C100" s="1426"/>
      <c r="D100" s="1427"/>
      <c r="E100" s="1427"/>
      <c r="F100" s="1447" t="s">
        <v>628</v>
      </c>
      <c r="G100" s="1427"/>
      <c r="H100" s="1427"/>
      <c r="I100" s="366"/>
    </row>
    <row r="101" spans="1:9">
      <c r="A101" s="366"/>
      <c r="B101" s="366" t="s">
        <v>730</v>
      </c>
      <c r="C101" s="1426"/>
      <c r="D101" s="1427"/>
      <c r="E101" s="1427"/>
      <c r="F101" s="1448">
        <f>IF(F100=Sources!B3,Sources!I50, IF(F100=Sources!B51,Sources!I51, IF(F100=Sources!B52,Sources!I52, IF(F100=Sources!B53,Sources!I53, IF(F100=Sources!B54,Sources!I54,0)))))</f>
        <v>0.08</v>
      </c>
      <c r="G101" s="1427"/>
      <c r="H101" s="1427"/>
      <c r="I101" s="366"/>
    </row>
    <row r="102" spans="1:9">
      <c r="A102" s="366"/>
      <c r="B102" s="366" t="s">
        <v>731</v>
      </c>
      <c r="C102" s="1426"/>
      <c r="D102" s="1427"/>
      <c r="E102" s="1427"/>
      <c r="F102" s="1805">
        <f>IF(F100=Sources!B50,Sources!H50,IF(F100=Sources!B51,Sources!H51,IF(F100=Sources!B52,Sources!H52, IF(F100=Sources!B53,Sources!H53, IF(F100=Sources!B54,Sources!H54,0)))))</f>
        <v>30</v>
      </c>
      <c r="G102" s="1427"/>
      <c r="H102" s="1427"/>
      <c r="I102" s="366"/>
    </row>
    <row r="103" spans="1:9">
      <c r="A103" s="366"/>
      <c r="B103" s="366" t="s">
        <v>732</v>
      </c>
      <c r="C103" s="1426"/>
      <c r="D103" s="1427"/>
      <c r="E103" s="1427"/>
      <c r="F103" s="1449">
        <f>IF('Units&amp;Income'!AV94=0,0,ROUND(PV(F101/12,F102*12,-I97/12),0))</f>
        <v>0</v>
      </c>
      <c r="G103" s="1427"/>
      <c r="H103" s="1427"/>
      <c r="I103" s="366"/>
    </row>
    <row r="105" spans="1:9">
      <c r="A105" s="371" t="s">
        <v>733</v>
      </c>
      <c r="B105" s="366"/>
      <c r="C105" s="1426"/>
      <c r="D105" s="1427"/>
      <c r="E105" s="1427"/>
      <c r="F105" s="1805"/>
      <c r="G105" s="1427"/>
      <c r="H105" s="1427"/>
      <c r="I105" s="366"/>
    </row>
    <row r="106" spans="1:9">
      <c r="A106" s="366"/>
      <c r="B106" s="366" t="s">
        <v>734</v>
      </c>
      <c r="C106" s="1426"/>
      <c r="D106" s="1427"/>
      <c r="E106" s="1427"/>
      <c r="F106" s="1449">
        <f>F103</f>
        <v>0</v>
      </c>
      <c r="G106" s="1427"/>
      <c r="H106" s="1427"/>
      <c r="I106" s="366"/>
    </row>
    <row r="107" spans="1:9">
      <c r="A107" s="366"/>
      <c r="B107" s="366" t="s">
        <v>735</v>
      </c>
      <c r="C107" s="1426"/>
      <c r="D107" s="1427"/>
      <c r="E107" s="1427"/>
      <c r="F107" s="370">
        <f>F106</f>
        <v>0</v>
      </c>
      <c r="G107" s="1427"/>
      <c r="H107" s="1427"/>
      <c r="I107" s="366"/>
    </row>
    <row r="109" spans="1:9" hidden="1">
      <c r="A109" s="371" t="s">
        <v>736</v>
      </c>
      <c r="B109" s="366"/>
      <c r="C109" s="1426"/>
      <c r="D109" s="1427"/>
      <c r="E109" s="1427"/>
      <c r="F109" s="1805"/>
      <c r="G109" s="1427"/>
      <c r="H109" s="1427"/>
      <c r="I109" s="366"/>
    </row>
    <row r="110" spans="1:9" hidden="1">
      <c r="A110" s="366"/>
      <c r="B110" s="366" t="s">
        <v>737</v>
      </c>
      <c r="C110" s="1426"/>
      <c r="D110" s="1427"/>
      <c r="E110" s="1427"/>
      <c r="F110" s="1802">
        <f>IF(F100=Sources!B50,Sources!D50,IF(F100=Sources!B51,Sources!D51, IF(F100=Sources!B52,Sources!D52, IF(F100=Sources!B53,Sources!D53, IF(F100=Sources!B54,Sources!D54,0)))))</f>
        <v>0</v>
      </c>
      <c r="G110" s="1427"/>
      <c r="H110" s="1427"/>
      <c r="I110" s="366"/>
    </row>
    <row r="111" spans="1:9" hidden="1">
      <c r="A111" s="366"/>
      <c r="B111" s="366" t="s">
        <v>738</v>
      </c>
      <c r="C111" s="1426"/>
      <c r="D111" s="1427"/>
      <c r="E111" s="1427"/>
      <c r="F111" s="1802">
        <f>F110+F107</f>
        <v>0</v>
      </c>
      <c r="G111" s="1427"/>
      <c r="H111" s="1427"/>
      <c r="I111" s="366"/>
    </row>
    <row r="112" spans="1:9" hidden="1">
      <c r="A112" s="366"/>
      <c r="B112" s="366"/>
      <c r="C112" s="1426"/>
      <c r="D112" s="1427"/>
      <c r="E112" s="1427"/>
      <c r="F112" s="1805"/>
      <c r="G112" s="1450"/>
      <c r="H112" s="1427"/>
      <c r="I112" s="366"/>
    </row>
    <row r="113" spans="1:6">
      <c r="A113" s="371" t="s">
        <v>739</v>
      </c>
      <c r="B113" s="366"/>
      <c r="C113" s="1426"/>
      <c r="D113" s="1427"/>
      <c r="E113" s="1427"/>
      <c r="F113" s="1805"/>
    </row>
    <row r="114" spans="1:6">
      <c r="A114" s="366"/>
      <c r="B114" s="1950" t="s">
        <v>740</v>
      </c>
      <c r="C114" s="1950"/>
      <c r="D114" s="1950"/>
      <c r="E114" s="1950"/>
      <c r="F114" s="1950"/>
    </row>
    <row r="115" spans="1:6">
      <c r="A115" s="366"/>
      <c r="B115" s="1950"/>
      <c r="C115" s="1950"/>
      <c r="D115" s="1950"/>
      <c r="E115" s="1950"/>
      <c r="F115" s="1950"/>
    </row>
    <row r="116" spans="1:6">
      <c r="A116" s="366"/>
      <c r="B116" s="1950"/>
      <c r="C116" s="1950"/>
      <c r="D116" s="1950"/>
      <c r="E116" s="1950"/>
      <c r="F116" s="1950"/>
    </row>
    <row r="117" spans="1:6">
      <c r="A117" s="366"/>
      <c r="B117" s="1950"/>
      <c r="C117" s="1950"/>
      <c r="D117" s="1950"/>
      <c r="E117" s="1950"/>
      <c r="F117" s="1950"/>
    </row>
    <row r="118" spans="1:6">
      <c r="A118" s="366"/>
      <c r="B118" s="1950"/>
      <c r="C118" s="1950"/>
      <c r="D118" s="1950"/>
      <c r="E118" s="1950"/>
      <c r="F118" s="1950"/>
    </row>
  </sheetData>
  <sheetProtection password="DD1D" sheet="1" objects="1" scenarios="1"/>
  <mergeCells count="84">
    <mergeCell ref="A24:B24"/>
    <mergeCell ref="A25:B25"/>
    <mergeCell ref="A26:B26"/>
    <mergeCell ref="A1:C1"/>
    <mergeCell ref="A16:B16"/>
    <mergeCell ref="A17:B17"/>
    <mergeCell ref="A18:B18"/>
    <mergeCell ref="A19:B19"/>
    <mergeCell ref="A20:B20"/>
    <mergeCell ref="A21:B21"/>
    <mergeCell ref="A22:B22"/>
    <mergeCell ref="A23:B23"/>
    <mergeCell ref="A32:B32"/>
    <mergeCell ref="A33:B33"/>
    <mergeCell ref="A34:B34"/>
    <mergeCell ref="A35:B35"/>
    <mergeCell ref="A36:B36"/>
    <mergeCell ref="A37:B37"/>
    <mergeCell ref="A46:B46"/>
    <mergeCell ref="A47:B47"/>
    <mergeCell ref="A48:B48"/>
    <mergeCell ref="A49:B49"/>
    <mergeCell ref="A38:B38"/>
    <mergeCell ref="A27:B27"/>
    <mergeCell ref="A28:B28"/>
    <mergeCell ref="A29:B29"/>
    <mergeCell ref="A30:B30"/>
    <mergeCell ref="A31:B31"/>
    <mergeCell ref="A50:B50"/>
    <mergeCell ref="A39:B39"/>
    <mergeCell ref="A40:B40"/>
    <mergeCell ref="A41:B41"/>
    <mergeCell ref="A42:B42"/>
    <mergeCell ref="A43:B43"/>
    <mergeCell ref="A44:B44"/>
    <mergeCell ref="A45:B45"/>
    <mergeCell ref="A62:B62"/>
    <mergeCell ref="A51:B51"/>
    <mergeCell ref="A52:B52"/>
    <mergeCell ref="A53:B53"/>
    <mergeCell ref="A54:B54"/>
    <mergeCell ref="A55:B55"/>
    <mergeCell ref="A56:B56"/>
    <mergeCell ref="A57:B57"/>
    <mergeCell ref="A58:B58"/>
    <mergeCell ref="A59:B59"/>
    <mergeCell ref="A60:B60"/>
    <mergeCell ref="A61:B61"/>
    <mergeCell ref="A68:B68"/>
    <mergeCell ref="A69:B69"/>
    <mergeCell ref="A70:B70"/>
    <mergeCell ref="A71:B71"/>
    <mergeCell ref="A72:B72"/>
    <mergeCell ref="A73:B73"/>
    <mergeCell ref="A82:B82"/>
    <mergeCell ref="A83:B83"/>
    <mergeCell ref="A84:B84"/>
    <mergeCell ref="A85:B85"/>
    <mergeCell ref="A74:B74"/>
    <mergeCell ref="A63:B63"/>
    <mergeCell ref="A64:B64"/>
    <mergeCell ref="A65:B65"/>
    <mergeCell ref="A66:B66"/>
    <mergeCell ref="A67:B67"/>
    <mergeCell ref="A86:B86"/>
    <mergeCell ref="A75:B75"/>
    <mergeCell ref="A76:B76"/>
    <mergeCell ref="A77:B77"/>
    <mergeCell ref="A78:B78"/>
    <mergeCell ref="A79:B79"/>
    <mergeCell ref="A80:B80"/>
    <mergeCell ref="A81:B81"/>
    <mergeCell ref="B114:F118"/>
    <mergeCell ref="A87:B87"/>
    <mergeCell ref="A88:B88"/>
    <mergeCell ref="A89:B89"/>
    <mergeCell ref="A90:B90"/>
    <mergeCell ref="A91:B91"/>
    <mergeCell ref="A92:B92"/>
    <mergeCell ref="A93:B93"/>
    <mergeCell ref="A94:B94"/>
    <mergeCell ref="A95:B95"/>
    <mergeCell ref="A96:D96"/>
    <mergeCell ref="A97:C97"/>
  </mergeCells>
  <phoneticPr fontId="53" type="noConversion"/>
  <dataValidations xWindow="533" yWindow="434" count="24">
    <dataValidation type="list" allowBlank="1" showInputMessage="1" showErrorMessage="1" promptTitle="ARC Unit Replacements" prompt="If it were not for the ARC program, what AMI level would these units be at? The Replacement Rents will be calculated based on these rents entered in the Units &amp; Income tab." sqref="F5" xr:uid="{00000000-0002-0000-0700-000000000000}">
      <formula1>AMILevels</formula1>
    </dataValidation>
    <dataValidation allowBlank="1" showInputMessage="1" showErrorMessage="1" promptTitle="# ARC Units" prompt="All units at 30% AMI are defaulted to = ARC units on the Units &amp; Income tab when the ARC source of funds is turned on. Modify the # of ARC units on the Units &amp; Income tab, Column H." sqref="D17:D94" xr:uid="{00000000-0002-0000-0700-000001000000}"/>
    <dataValidation allowBlank="1" showInputMessage="1" showErrorMessage="1" promptTitle="Grand Total Annual Variance" prompt="This is the amount of lost gross income to the project that will be offset with debt savings." sqref="I97" xr:uid="{00000000-0002-0000-0700-000002000000}"/>
    <dataValidation type="list" allowBlank="1" showInputMessage="1" showErrorMessage="1" promptTitle="Select Loan/ TE Bond To Reduce" prompt="Select the appropriate loan from the list." sqref="F100" xr:uid="{00000000-0002-0000-0700-000003000000}">
      <formula1>Loans</formula1>
    </dataValidation>
    <dataValidation allowBlank="1" showInputMessage="1" showErrorMessage="1" promptTitle="Loan Amount With ARC" prompt="This is the amount of the loan entered in the Sources tab. This loan amount already takes into account the effect of the 30% AMI ARC units." sqref="F110" xr:uid="{00000000-0002-0000-0700-000004000000}"/>
    <dataValidation allowBlank="1" showInputMessage="1" showErrorMessage="1" promptTitle="Loan DCR" prompt="This is the DCR calculated for the selected loan. It is recommended that you NOT overwrite this formula." sqref="E14" xr:uid="{00000000-0002-0000-0700-000005000000}"/>
    <dataValidation allowBlank="1" showInputMessage="1" showErrorMessage="1" promptTitle="Annual Lost Debt Service" prompt="This value = Annual Lost Income / the Loan's DCR. If there is no DCR calculated, this value = Annual Lost Income / 1.2." sqref="F14" xr:uid="{00000000-0002-0000-0700-000006000000}"/>
    <dataValidation allowBlank="1" showInputMessage="1" showErrorMessage="1" promptTitle="ARC Units" prompt="The ARC Units are entered on the Units &amp; Income tab, Column H." sqref="C6" xr:uid="{00000000-0002-0000-0700-000007000000}"/>
    <dataValidation allowBlank="1" showInputMessage="1" showErrorMessage="1" promptTitle="Total Units" prompt="This is the total number of residential units, including the ARC units." sqref="F6" xr:uid="{00000000-0002-0000-0700-000008000000}"/>
    <dataValidation allowBlank="1" showInputMessage="1" showErrorMessage="1" promptTitle="ARC Percentage" prompt="This is the portion of all residential units subsidized through the ARC program." sqref="F7" xr:uid="{00000000-0002-0000-0700-000009000000}"/>
    <dataValidation allowBlank="1" showInputMessage="1" showErrorMessage="1" promptTitle="Annual Lost Income" prompt="This is the annual amount of lost rents taking into account vacancy rates for all ARC units. This value is based on the Replacement AMI selected above." sqref="F8" xr:uid="{00000000-0002-0000-0700-00000A000000}"/>
    <dataValidation allowBlank="1" showInputMessage="1" showErrorMessage="1" promptTitle="Operating Costs Without ARC" prompt="Operating Costs are anticipated to be the same except for an increase in the management fee, which is based on a % of the EGI." sqref="F11" xr:uid="{00000000-0002-0000-0700-00000B000000}"/>
    <dataValidation allowBlank="1" showInputMessage="1" showErrorMessage="1" promptTitle="Op Costs WITH ARC Units" prompt="These are the total operating costs entered in the Op_Costs tab." sqref="F10" xr:uid="{00000000-0002-0000-0700-00000C000000}"/>
    <dataValidation allowBlank="1" showInputMessage="1" showErrorMessage="1" promptTitle="Variance" prompt="This is how much cheaper (more expensive) the operating costs are for the ARC project." sqref="F12" xr:uid="{00000000-0002-0000-0700-00000D000000}"/>
    <dataValidation allowBlank="1" showInputMessage="1" showErrorMessage="1" promptTitle="Loan Amount Without ARC" prompt="This is the loan amount that would be available if all 30% AMI ARC units were instead at the designated AMI level." sqref="F111" xr:uid="{00000000-0002-0000-0700-00000E000000}"/>
    <dataValidation allowBlank="1" showInputMessage="1" showErrorMessage="1" promptTitle="Replacement Rent" prompt="This is the rent entered on the Units&amp;Income tab for the selected AMI above." sqref="F16:F95" xr:uid="{00000000-0002-0000-0700-00000F000000}"/>
    <dataValidation allowBlank="1" showInputMessage="1" showErrorMessage="1" promptTitle="Monthly Variance Per Unit" prompt="This equals the Replacement Rent - ARC Rent for each unit type." sqref="G16:G95" xr:uid="{00000000-0002-0000-0700-000010000000}"/>
    <dataValidation allowBlank="1" showInputMessage="1" showErrorMessage="1" promptTitle="Variance - All ARC Units" prompt="This is the Monthly Variance * the # of ARC Units." sqref="H16:H95" xr:uid="{00000000-0002-0000-0700-000011000000}"/>
    <dataValidation allowBlank="1" showInputMessage="1" showErrorMessage="1" promptTitle="Annual Variance" prompt="This is the annual difference in rents." sqref="I16:I95" xr:uid="{00000000-0002-0000-0700-000012000000}"/>
    <dataValidation allowBlank="1" showInputMessage="1" showErrorMessage="1" promptTitle="Less Vacancy Rate" prompt="The vacancy rate is defaulted to the ARC amount." sqref="A96:I96" xr:uid="{00000000-0002-0000-0700-000013000000}"/>
    <dataValidation allowBlank="1" showInputMessage="1" showErrorMessage="1" promptTitle="Permanent Interest Rate" prompt="This is the Initial Interest Rate entered in the Construction Sources of Funds." sqref="F101" xr:uid="{00000000-0002-0000-0700-000014000000}"/>
    <dataValidation allowBlank="1" showInputMessage="1" showErrorMessage="1" promptTitle="Amortization Period" prompt="This is the # of years shown in the Amortization Period for the selected loan/ bond." sqref="F102" xr:uid="{00000000-0002-0000-0700-000015000000}"/>
    <dataValidation allowBlank="1" showInputMessage="1" showErrorMessage="1" promptTitle="Present Value" prompt="This is the amount of the loan value that is lost due to the decrease in the ARC units' rents." sqref="F103" xr:uid="{00000000-0002-0000-0700-000016000000}"/>
    <dataValidation allowBlank="1" showInputMessage="1" showErrorMessage="1" promptTitle="Actual ARC Loan Amount" prompt="This value is defaulted to the program calculated amount, but can be overwritten." sqref="F107" xr:uid="{00000000-0002-0000-0700-000017000000}"/>
  </dataValidations>
  <pageMargins left="0.75" right="0.75" top="1" bottom="1" header="0.5" footer="0.5"/>
  <pageSetup scale="99" orientation="portrait" horizontalDpi="1200" verticalDpi="1200" r:id="rId1"/>
  <headerFooter alignWithMargins="0">
    <oddHeader>&amp;C&amp;"Arial,Bold"&amp;12ARC Program</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FI110"/>
  <sheetViews>
    <sheetView workbookViewId="0">
      <selection activeCell="G2" sqref="G2"/>
    </sheetView>
  </sheetViews>
  <sheetFormatPr defaultColWidth="9.140625" defaultRowHeight="12.75"/>
  <cols>
    <col min="1" max="1" width="27.85546875" style="464" customWidth="1"/>
    <col min="2" max="2" width="10.85546875" style="281" customWidth="1"/>
    <col min="3" max="3" width="9.140625" style="465"/>
    <col min="4" max="5" width="9.140625" style="465" hidden="1" customWidth="1"/>
    <col min="6" max="6" width="11" style="465" hidden="1" customWidth="1"/>
    <col min="7" max="8" width="11" style="281" customWidth="1"/>
    <col min="9" max="46" width="10.85546875" style="281" customWidth="1"/>
    <col min="47" max="165" width="9.140625" style="466"/>
    <col min="166" max="16384" width="9.140625" style="281"/>
  </cols>
  <sheetData>
    <row r="1" spans="1:165" s="427" customFormat="1">
      <c r="A1" s="1451" t="str">
        <f>Setup!D7</f>
        <v>Enter Project Name Here</v>
      </c>
      <c r="B1" s="1452" t="s">
        <v>276</v>
      </c>
      <c r="C1" s="1453" t="s">
        <v>741</v>
      </c>
      <c r="D1" s="1957" t="s">
        <v>742</v>
      </c>
      <c r="E1" s="1957"/>
      <c r="F1" s="1957"/>
      <c r="G1" s="1452" t="s">
        <v>743</v>
      </c>
      <c r="H1" s="1452" t="s">
        <v>744</v>
      </c>
      <c r="I1" s="1452" t="s">
        <v>745</v>
      </c>
      <c r="J1" s="1452" t="s">
        <v>746</v>
      </c>
      <c r="K1" s="1452" t="s">
        <v>747</v>
      </c>
      <c r="L1" s="1452" t="s">
        <v>748</v>
      </c>
      <c r="M1" s="1452" t="s">
        <v>749</v>
      </c>
      <c r="N1" s="1452" t="s">
        <v>750</v>
      </c>
      <c r="O1" s="1452" t="s">
        <v>751</v>
      </c>
      <c r="P1" s="1452" t="s">
        <v>752</v>
      </c>
      <c r="Q1" s="1452" t="s">
        <v>753</v>
      </c>
      <c r="R1" s="1452" t="s">
        <v>754</v>
      </c>
      <c r="S1" s="1452" t="s">
        <v>755</v>
      </c>
      <c r="T1" s="1452" t="s">
        <v>756</v>
      </c>
      <c r="U1" s="1452" t="s">
        <v>757</v>
      </c>
      <c r="V1" s="1452" t="s">
        <v>758</v>
      </c>
      <c r="W1" s="1452" t="s">
        <v>759</v>
      </c>
      <c r="X1" s="1452" t="s">
        <v>760</v>
      </c>
      <c r="Y1" s="1452" t="s">
        <v>761</v>
      </c>
      <c r="Z1" s="1452" t="s">
        <v>762</v>
      </c>
      <c r="AA1" s="1452" t="s">
        <v>763</v>
      </c>
      <c r="AB1" s="1452" t="s">
        <v>764</v>
      </c>
      <c r="AC1" s="1452" t="s">
        <v>765</v>
      </c>
      <c r="AD1" s="1452" t="s">
        <v>766</v>
      </c>
      <c r="AE1" s="1452" t="s">
        <v>767</v>
      </c>
      <c r="AF1" s="1452" t="s">
        <v>768</v>
      </c>
      <c r="AG1" s="1452" t="s">
        <v>769</v>
      </c>
      <c r="AH1" s="1452" t="s">
        <v>770</v>
      </c>
      <c r="AI1" s="1452" t="s">
        <v>771</v>
      </c>
      <c r="AJ1" s="1452" t="s">
        <v>772</v>
      </c>
      <c r="AK1" s="1452" t="s">
        <v>773</v>
      </c>
      <c r="AL1" s="1452" t="s">
        <v>774</v>
      </c>
      <c r="AM1" s="1452" t="s">
        <v>775</v>
      </c>
      <c r="AN1" s="1452" t="s">
        <v>776</v>
      </c>
      <c r="AO1" s="1452" t="s">
        <v>777</v>
      </c>
      <c r="AP1" s="1452" t="s">
        <v>778</v>
      </c>
      <c r="AQ1" s="1452" t="s">
        <v>779</v>
      </c>
      <c r="AR1" s="1452" t="s">
        <v>780</v>
      </c>
      <c r="AS1" s="1452" t="s">
        <v>781</v>
      </c>
      <c r="AT1" s="1452" t="s">
        <v>782</v>
      </c>
      <c r="AU1" s="1454"/>
      <c r="AV1" s="1454"/>
      <c r="AW1" s="1454"/>
      <c r="AX1" s="1454"/>
      <c r="AY1" s="1454"/>
      <c r="AZ1" s="1454"/>
      <c r="BA1" s="1454"/>
      <c r="BB1" s="1454"/>
      <c r="BC1" s="1454"/>
      <c r="BD1" s="1454"/>
      <c r="BE1" s="1454"/>
      <c r="BF1" s="1454"/>
      <c r="BG1" s="1454"/>
      <c r="BH1" s="1454"/>
      <c r="BI1" s="1454"/>
      <c r="BJ1" s="1454"/>
      <c r="BK1" s="1454"/>
      <c r="BL1" s="1454"/>
      <c r="BM1" s="1454"/>
      <c r="BN1" s="1454"/>
      <c r="BO1" s="1454"/>
      <c r="BP1" s="1454"/>
      <c r="BQ1" s="1454"/>
      <c r="BR1" s="1454"/>
      <c r="BS1" s="1454"/>
      <c r="BT1" s="1454"/>
      <c r="BU1" s="1454"/>
      <c r="BV1" s="1454"/>
      <c r="BW1" s="1454"/>
      <c r="BX1" s="1454"/>
      <c r="BY1" s="1454"/>
      <c r="BZ1" s="1454"/>
      <c r="CA1" s="1454"/>
      <c r="CB1" s="1454"/>
      <c r="CC1" s="1454"/>
      <c r="CD1" s="1454"/>
      <c r="CE1" s="1454"/>
      <c r="CF1" s="1454"/>
      <c r="CG1" s="1454"/>
      <c r="CH1" s="1454"/>
      <c r="CI1" s="1454"/>
      <c r="CJ1" s="1454"/>
      <c r="CK1" s="1454"/>
      <c r="CL1" s="1454"/>
      <c r="CM1" s="1454"/>
      <c r="CN1" s="1454"/>
      <c r="CO1" s="1454"/>
      <c r="CP1" s="1454"/>
      <c r="CQ1" s="1454"/>
      <c r="CR1" s="1454"/>
      <c r="CS1" s="1454"/>
      <c r="CT1" s="1454"/>
      <c r="CU1" s="1454"/>
      <c r="CV1" s="1454"/>
      <c r="CW1" s="1454"/>
      <c r="CX1" s="1454"/>
      <c r="CY1" s="1454"/>
      <c r="CZ1" s="1454"/>
      <c r="DA1" s="1454"/>
      <c r="DB1" s="1454"/>
      <c r="DC1" s="1454"/>
      <c r="DD1" s="1454"/>
      <c r="DE1" s="1454"/>
      <c r="DF1" s="1454"/>
      <c r="DG1" s="1454"/>
      <c r="DH1" s="1454"/>
      <c r="DI1" s="1454"/>
      <c r="DJ1" s="1454"/>
      <c r="DK1" s="1454"/>
      <c r="DL1" s="1454"/>
      <c r="DM1" s="1454"/>
      <c r="DN1" s="1454"/>
      <c r="DO1" s="1454"/>
      <c r="DP1" s="1454"/>
      <c r="DQ1" s="1454"/>
      <c r="DR1" s="1454"/>
      <c r="DS1" s="1454"/>
      <c r="DT1" s="1454"/>
      <c r="DU1" s="1454"/>
      <c r="DV1" s="1454"/>
      <c r="DW1" s="1454"/>
      <c r="DX1" s="1454"/>
      <c r="DY1" s="1454"/>
      <c r="DZ1" s="1454"/>
      <c r="EA1" s="1454"/>
      <c r="EB1" s="1454"/>
      <c r="EC1" s="1454"/>
      <c r="ED1" s="1454"/>
      <c r="EE1" s="1454"/>
      <c r="EF1" s="1454"/>
      <c r="EG1" s="1454"/>
      <c r="EH1" s="1454"/>
      <c r="EI1" s="1454"/>
      <c r="EJ1" s="1454"/>
      <c r="EK1" s="1454"/>
      <c r="EL1" s="1454"/>
      <c r="EM1" s="1454"/>
      <c r="EN1" s="1454"/>
      <c r="EO1" s="1454"/>
      <c r="EP1" s="1454"/>
      <c r="EQ1" s="1454"/>
      <c r="ER1" s="1454"/>
      <c r="ES1" s="1454"/>
      <c r="ET1" s="1454"/>
      <c r="EU1" s="1454"/>
      <c r="EV1" s="1454"/>
      <c r="EW1" s="1454"/>
      <c r="EX1" s="1454"/>
      <c r="EY1" s="1454"/>
      <c r="EZ1" s="1454"/>
      <c r="FA1" s="1454"/>
      <c r="FB1" s="1454"/>
      <c r="FC1" s="1454"/>
      <c r="FD1" s="1454"/>
      <c r="FE1" s="1454"/>
      <c r="FF1" s="1454"/>
      <c r="FG1" s="1454"/>
      <c r="FH1" s="1454"/>
      <c r="FI1" s="1454"/>
    </row>
    <row r="2" spans="1:165" s="428" customFormat="1">
      <c r="A2" s="1455"/>
      <c r="B2" s="1456" t="s">
        <v>743</v>
      </c>
      <c r="C2" s="1457" t="s">
        <v>783</v>
      </c>
      <c r="D2" s="1458">
        <f ca="1">Op_Costs!D3</f>
        <v>2024</v>
      </c>
      <c r="E2" s="1458">
        <f ca="1">Op_Costs!E3</f>
        <v>2025</v>
      </c>
      <c r="F2" s="1458">
        <f ca="1">Op_Costs!F3</f>
        <v>2026</v>
      </c>
      <c r="G2" s="1458">
        <f ca="1">Setup!R33</f>
        <v>2027</v>
      </c>
      <c r="H2" s="1458">
        <f t="shared" ref="H2:AT2" ca="1" si="0">G2+1</f>
        <v>2028</v>
      </c>
      <c r="I2" s="1458">
        <f t="shared" ca="1" si="0"/>
        <v>2029</v>
      </c>
      <c r="J2" s="1458">
        <f t="shared" ca="1" si="0"/>
        <v>2030</v>
      </c>
      <c r="K2" s="1458">
        <f t="shared" ca="1" si="0"/>
        <v>2031</v>
      </c>
      <c r="L2" s="1458">
        <f t="shared" ca="1" si="0"/>
        <v>2032</v>
      </c>
      <c r="M2" s="1458">
        <f t="shared" ca="1" si="0"/>
        <v>2033</v>
      </c>
      <c r="N2" s="1458">
        <f t="shared" ca="1" si="0"/>
        <v>2034</v>
      </c>
      <c r="O2" s="1458">
        <f t="shared" ca="1" si="0"/>
        <v>2035</v>
      </c>
      <c r="P2" s="1458">
        <f t="shared" ca="1" si="0"/>
        <v>2036</v>
      </c>
      <c r="Q2" s="1458">
        <f t="shared" ca="1" si="0"/>
        <v>2037</v>
      </c>
      <c r="R2" s="1458">
        <f t="shared" ca="1" si="0"/>
        <v>2038</v>
      </c>
      <c r="S2" s="1458">
        <f t="shared" ca="1" si="0"/>
        <v>2039</v>
      </c>
      <c r="T2" s="1458">
        <f t="shared" ca="1" si="0"/>
        <v>2040</v>
      </c>
      <c r="U2" s="1458">
        <f t="shared" ca="1" si="0"/>
        <v>2041</v>
      </c>
      <c r="V2" s="1458">
        <f t="shared" ca="1" si="0"/>
        <v>2042</v>
      </c>
      <c r="W2" s="1458">
        <f t="shared" ca="1" si="0"/>
        <v>2043</v>
      </c>
      <c r="X2" s="1458">
        <f t="shared" ca="1" si="0"/>
        <v>2044</v>
      </c>
      <c r="Y2" s="1458">
        <f t="shared" ca="1" si="0"/>
        <v>2045</v>
      </c>
      <c r="Z2" s="1458">
        <f t="shared" ca="1" si="0"/>
        <v>2046</v>
      </c>
      <c r="AA2" s="1458">
        <f t="shared" ca="1" si="0"/>
        <v>2047</v>
      </c>
      <c r="AB2" s="1458">
        <f t="shared" ca="1" si="0"/>
        <v>2048</v>
      </c>
      <c r="AC2" s="1458">
        <f t="shared" ca="1" si="0"/>
        <v>2049</v>
      </c>
      <c r="AD2" s="1458">
        <f t="shared" ca="1" si="0"/>
        <v>2050</v>
      </c>
      <c r="AE2" s="1458">
        <f t="shared" ca="1" si="0"/>
        <v>2051</v>
      </c>
      <c r="AF2" s="1458">
        <f t="shared" ca="1" si="0"/>
        <v>2052</v>
      </c>
      <c r="AG2" s="1458">
        <f t="shared" ca="1" si="0"/>
        <v>2053</v>
      </c>
      <c r="AH2" s="1458">
        <f t="shared" ca="1" si="0"/>
        <v>2054</v>
      </c>
      <c r="AI2" s="1458">
        <f t="shared" ca="1" si="0"/>
        <v>2055</v>
      </c>
      <c r="AJ2" s="1458">
        <f t="shared" ca="1" si="0"/>
        <v>2056</v>
      </c>
      <c r="AK2" s="1458">
        <f t="shared" ca="1" si="0"/>
        <v>2057</v>
      </c>
      <c r="AL2" s="1458">
        <f t="shared" ca="1" si="0"/>
        <v>2058</v>
      </c>
      <c r="AM2" s="1458">
        <f t="shared" ca="1" si="0"/>
        <v>2059</v>
      </c>
      <c r="AN2" s="1458">
        <f t="shared" ca="1" si="0"/>
        <v>2060</v>
      </c>
      <c r="AO2" s="1458">
        <f t="shared" ca="1" si="0"/>
        <v>2061</v>
      </c>
      <c r="AP2" s="1458">
        <f t="shared" ca="1" si="0"/>
        <v>2062</v>
      </c>
      <c r="AQ2" s="1458">
        <f t="shared" ca="1" si="0"/>
        <v>2063</v>
      </c>
      <c r="AR2" s="1458">
        <f t="shared" ca="1" si="0"/>
        <v>2064</v>
      </c>
      <c r="AS2" s="1458">
        <f t="shared" ca="1" si="0"/>
        <v>2065</v>
      </c>
      <c r="AT2" s="1458">
        <f t="shared" ca="1" si="0"/>
        <v>2066</v>
      </c>
      <c r="AU2" s="1454"/>
      <c r="AV2" s="1454"/>
      <c r="AW2" s="1454"/>
      <c r="AX2" s="1454"/>
      <c r="AY2" s="1454"/>
      <c r="AZ2" s="1454"/>
      <c r="BA2" s="1454"/>
      <c r="BB2" s="1454"/>
      <c r="BC2" s="1454"/>
      <c r="BD2" s="1454"/>
      <c r="BE2" s="1454"/>
      <c r="BF2" s="1454"/>
      <c r="BG2" s="1454"/>
      <c r="BH2" s="1454"/>
      <c r="BI2" s="1454"/>
      <c r="BJ2" s="1454"/>
      <c r="BK2" s="1454"/>
      <c r="BL2" s="1454"/>
      <c r="BM2" s="1454"/>
      <c r="BN2" s="1454"/>
      <c r="BO2" s="1454"/>
      <c r="BP2" s="1454"/>
      <c r="BQ2" s="1454"/>
      <c r="BR2" s="1454"/>
      <c r="BS2" s="1454"/>
      <c r="BT2" s="1454"/>
      <c r="BU2" s="1454"/>
      <c r="BV2" s="1454"/>
      <c r="BW2" s="1454"/>
      <c r="BX2" s="1454"/>
      <c r="BY2" s="1454"/>
      <c r="BZ2" s="1454"/>
      <c r="CA2" s="1454"/>
      <c r="CB2" s="1454"/>
      <c r="CC2" s="1454"/>
      <c r="CD2" s="1454"/>
      <c r="CE2" s="1454"/>
      <c r="CF2" s="1454"/>
      <c r="CG2" s="1454"/>
      <c r="CH2" s="1454"/>
      <c r="CI2" s="1454"/>
      <c r="CJ2" s="1454"/>
      <c r="CK2" s="1454"/>
      <c r="CL2" s="1454"/>
      <c r="CM2" s="1454"/>
      <c r="CN2" s="1454"/>
      <c r="CO2" s="1454"/>
      <c r="CP2" s="1454"/>
      <c r="CQ2" s="1454"/>
      <c r="CR2" s="1454"/>
      <c r="CS2" s="1454"/>
      <c r="CT2" s="1454"/>
      <c r="CU2" s="1454"/>
      <c r="CV2" s="1454"/>
      <c r="CW2" s="1454"/>
      <c r="CX2" s="1454"/>
      <c r="CY2" s="1454"/>
      <c r="CZ2" s="1454"/>
      <c r="DA2" s="1454"/>
      <c r="DB2" s="1454"/>
      <c r="DC2" s="1454"/>
      <c r="DD2" s="1454"/>
      <c r="DE2" s="1454"/>
      <c r="DF2" s="1454"/>
      <c r="DG2" s="1454"/>
      <c r="DH2" s="1454"/>
      <c r="DI2" s="1454"/>
      <c r="DJ2" s="1454"/>
      <c r="DK2" s="1454"/>
      <c r="DL2" s="1454"/>
      <c r="DM2" s="1454"/>
      <c r="DN2" s="1454"/>
      <c r="DO2" s="1454"/>
      <c r="DP2" s="1454"/>
      <c r="DQ2" s="1454"/>
      <c r="DR2" s="1454"/>
      <c r="DS2" s="1454"/>
      <c r="DT2" s="1454"/>
      <c r="DU2" s="1454"/>
      <c r="DV2" s="1454"/>
      <c r="DW2" s="1454"/>
      <c r="DX2" s="1454"/>
      <c r="DY2" s="1454"/>
      <c r="DZ2" s="1454"/>
      <c r="EA2" s="1454"/>
      <c r="EB2" s="1454"/>
      <c r="EC2" s="1454"/>
      <c r="ED2" s="1454"/>
      <c r="EE2" s="1454"/>
      <c r="EF2" s="1454"/>
      <c r="EG2" s="1454"/>
      <c r="EH2" s="1454"/>
      <c r="EI2" s="1454"/>
      <c r="EJ2" s="1454"/>
      <c r="EK2" s="1454"/>
      <c r="EL2" s="1454"/>
      <c r="EM2" s="1454"/>
      <c r="EN2" s="1454"/>
      <c r="EO2" s="1454"/>
      <c r="EP2" s="1454"/>
      <c r="EQ2" s="1454"/>
      <c r="ER2" s="1454"/>
      <c r="ES2" s="1454"/>
      <c r="ET2" s="1454"/>
      <c r="EU2" s="1454"/>
      <c r="EV2" s="1454"/>
      <c r="EW2" s="1454"/>
      <c r="EX2" s="1454"/>
      <c r="EY2" s="1454"/>
      <c r="EZ2" s="1454"/>
      <c r="FA2" s="1454"/>
      <c r="FB2" s="1454"/>
      <c r="FC2" s="1454"/>
      <c r="FD2" s="1454"/>
      <c r="FE2" s="1454"/>
      <c r="FF2" s="1454"/>
      <c r="FG2" s="1454"/>
      <c r="FH2" s="1454"/>
      <c r="FI2" s="1454"/>
    </row>
    <row r="3" spans="1:165" s="298" customFormat="1" hidden="1">
      <c r="A3" s="429" t="s">
        <v>784</v>
      </c>
      <c r="B3" s="297" t="str">
        <f>IF(Deal_Overview!$V$17&gt;0,G3/Deal_Overview!$V$17,"")</f>
        <v/>
      </c>
      <c r="C3" s="430">
        <f>Setup!R12</f>
        <v>0.02</v>
      </c>
      <c r="D3" s="289">
        <v>0</v>
      </c>
      <c r="E3" s="289">
        <f>D3</f>
        <v>0</v>
      </c>
      <c r="F3" s="289">
        <f>E3</f>
        <v>0</v>
      </c>
      <c r="G3" s="297">
        <f>'Units&amp;Income'!AW94*12</f>
        <v>0</v>
      </c>
      <c r="H3" s="889">
        <f>G3*(1+Setup!$R$12)</f>
        <v>0</v>
      </c>
      <c r="I3" s="889">
        <f>H3*(1+Setup!$R$12)</f>
        <v>0</v>
      </c>
      <c r="J3" s="889">
        <f>I3*(1+Setup!$R$12)</f>
        <v>0</v>
      </c>
      <c r="K3" s="889">
        <f>J3*(1+Setup!$R$12)</f>
        <v>0</v>
      </c>
      <c r="L3" s="889">
        <f>K3*(1+Setup!$R$12)</f>
        <v>0</v>
      </c>
      <c r="M3" s="889">
        <f>L3*(1+Setup!$R$12)</f>
        <v>0</v>
      </c>
      <c r="N3" s="889">
        <f>M3*(1+Setup!$R$12)</f>
        <v>0</v>
      </c>
      <c r="O3" s="889">
        <f>N3*(1+Setup!$R$12)</f>
        <v>0</v>
      </c>
      <c r="P3" s="889">
        <f>O3*(1+Setup!$R$12)</f>
        <v>0</v>
      </c>
      <c r="Q3" s="889">
        <f>P3*(1+Setup!$R$12)</f>
        <v>0</v>
      </c>
      <c r="R3" s="889">
        <f>Q3*(1+Setup!$R$12)</f>
        <v>0</v>
      </c>
      <c r="S3" s="889">
        <f>R3*(1+Setup!$R$12)</f>
        <v>0</v>
      </c>
      <c r="T3" s="889">
        <f>S3*(1+Setup!$R$12)</f>
        <v>0</v>
      </c>
      <c r="U3" s="889">
        <f>T3*(1+Setup!$R$12)</f>
        <v>0</v>
      </c>
      <c r="V3" s="889">
        <f>U3*(1+Setup!$R$12)</f>
        <v>0</v>
      </c>
      <c r="W3" s="889">
        <f>V3*(1+Setup!$R$12)</f>
        <v>0</v>
      </c>
      <c r="X3" s="889">
        <f>W3*(1+Setup!$R$12)</f>
        <v>0</v>
      </c>
      <c r="Y3" s="889">
        <f>X3*(1+Setup!$R$12)</f>
        <v>0</v>
      </c>
      <c r="Z3" s="889">
        <f>Y3*(1+Setup!$R$12)</f>
        <v>0</v>
      </c>
      <c r="AA3" s="889">
        <f>Z3*(1+Setup!$R$12)</f>
        <v>0</v>
      </c>
      <c r="AB3" s="889">
        <f>AA3*(1+Setup!$R$12)</f>
        <v>0</v>
      </c>
      <c r="AC3" s="889">
        <f>AB3*(1+Setup!$R$12)</f>
        <v>0</v>
      </c>
      <c r="AD3" s="889">
        <f>AC3*(1+Setup!$R$12)</f>
        <v>0</v>
      </c>
      <c r="AE3" s="889">
        <f>AD3*(1+Setup!$R$12)</f>
        <v>0</v>
      </c>
      <c r="AF3" s="889">
        <f>AE3*(1+Setup!$R$12)</f>
        <v>0</v>
      </c>
      <c r="AG3" s="889">
        <f>AF3*(1+Setup!$R$12)</f>
        <v>0</v>
      </c>
      <c r="AH3" s="889">
        <f>AG3*(1+Setup!$R$12)</f>
        <v>0</v>
      </c>
      <c r="AI3" s="889">
        <f>AH3*(1+Setup!$R$12)</f>
        <v>0</v>
      </c>
      <c r="AJ3" s="889">
        <f>AI3*(1+Setup!$R$12)</f>
        <v>0</v>
      </c>
      <c r="AK3" s="889">
        <f>AJ3*(1+Setup!$R$12)</f>
        <v>0</v>
      </c>
      <c r="AL3" s="889">
        <f>AK3*(1+Setup!$R$12)</f>
        <v>0</v>
      </c>
      <c r="AM3" s="889">
        <f>AL3*(1+Setup!$R$12)</f>
        <v>0</v>
      </c>
      <c r="AN3" s="889">
        <f>AM3*(1+Setup!$R$12)</f>
        <v>0</v>
      </c>
      <c r="AO3" s="889">
        <f>AN3*(1+Setup!$R$12)</f>
        <v>0</v>
      </c>
      <c r="AP3" s="889">
        <f>AO3*(1+Setup!$R$12)</f>
        <v>0</v>
      </c>
      <c r="AQ3" s="889">
        <f>AP3*(1+Setup!$R$12)</f>
        <v>0</v>
      </c>
      <c r="AR3" s="889">
        <f>AQ3*(1+Setup!$R$12)</f>
        <v>0</v>
      </c>
      <c r="AS3" s="889">
        <f>AR3*(1+Setup!$R$12)</f>
        <v>0</v>
      </c>
      <c r="AT3" s="889">
        <f>AS3*(1+Setup!$R$12)</f>
        <v>0</v>
      </c>
      <c r="AU3" s="431"/>
      <c r="AV3" s="431"/>
      <c r="AW3" s="431"/>
      <c r="AX3" s="431"/>
      <c r="AY3" s="431"/>
      <c r="AZ3" s="431"/>
      <c r="BA3" s="431"/>
      <c r="BB3" s="432"/>
      <c r="BC3" s="432"/>
      <c r="BD3" s="432"/>
      <c r="BE3" s="432"/>
      <c r="BF3" s="432"/>
      <c r="BG3" s="432"/>
      <c r="BH3" s="432"/>
      <c r="BI3" s="432"/>
      <c r="BJ3" s="432"/>
      <c r="BK3" s="432"/>
      <c r="BL3" s="432"/>
      <c r="BM3" s="432"/>
      <c r="BN3" s="432"/>
      <c r="BO3" s="432"/>
      <c r="BP3" s="432"/>
      <c r="BQ3" s="432"/>
      <c r="BR3" s="432"/>
      <c r="BS3" s="432"/>
      <c r="BT3" s="432"/>
      <c r="BU3" s="432"/>
      <c r="BV3" s="432"/>
      <c r="BW3" s="432"/>
      <c r="BX3" s="432"/>
      <c r="BY3" s="432"/>
      <c r="BZ3" s="432"/>
      <c r="CA3" s="432"/>
      <c r="CB3" s="432"/>
      <c r="CC3" s="432"/>
      <c r="CD3" s="432"/>
      <c r="CE3" s="432"/>
      <c r="CF3" s="432"/>
      <c r="CG3" s="432"/>
      <c r="CH3" s="432"/>
      <c r="CI3" s="432"/>
      <c r="CJ3" s="432"/>
      <c r="CK3" s="432"/>
      <c r="CL3" s="432"/>
      <c r="CM3" s="432"/>
      <c r="CN3" s="432"/>
      <c r="CO3" s="432"/>
      <c r="CP3" s="432"/>
      <c r="CQ3" s="432"/>
      <c r="CR3" s="432"/>
      <c r="CS3" s="432"/>
      <c r="CT3" s="432"/>
      <c r="CU3" s="432"/>
      <c r="CV3" s="432"/>
      <c r="CW3" s="432"/>
      <c r="CX3" s="432"/>
      <c r="CY3" s="432"/>
      <c r="CZ3" s="432"/>
      <c r="DA3" s="432"/>
      <c r="DB3" s="432"/>
      <c r="DC3" s="432"/>
      <c r="DD3" s="432"/>
      <c r="DE3" s="432"/>
      <c r="DF3" s="432"/>
      <c r="DG3" s="432"/>
      <c r="DH3" s="432"/>
      <c r="DI3" s="432"/>
      <c r="DJ3" s="432"/>
      <c r="DK3" s="432"/>
      <c r="DL3" s="432"/>
      <c r="DM3" s="432"/>
      <c r="DN3" s="432"/>
      <c r="DO3" s="432"/>
      <c r="DP3" s="432"/>
      <c r="DQ3" s="432"/>
      <c r="DR3" s="432"/>
      <c r="DS3" s="432"/>
      <c r="DT3" s="432"/>
      <c r="DU3" s="432"/>
      <c r="DV3" s="432"/>
      <c r="DW3" s="432"/>
      <c r="DX3" s="432"/>
      <c r="DY3" s="432"/>
      <c r="DZ3" s="432"/>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row>
    <row r="4" spans="1:165" s="298" customFormat="1" hidden="1">
      <c r="A4" s="429" t="s">
        <v>532</v>
      </c>
      <c r="B4" s="297" t="str">
        <f>IF(Deal_Overview!$V$17&gt;0,G4/Deal_Overview!$V$17,"")</f>
        <v/>
      </c>
      <c r="C4" s="430">
        <f>Setup!R13</f>
        <v>0</v>
      </c>
      <c r="D4" s="289">
        <v>0</v>
      </c>
      <c r="E4" s="289">
        <v>0</v>
      </c>
      <c r="F4" s="289">
        <v>0</v>
      </c>
      <c r="G4" s="297">
        <f>'Units&amp;Income'!D113</f>
        <v>0</v>
      </c>
      <c r="H4" s="889">
        <f>G4*(1+Setup!$R$12)</f>
        <v>0</v>
      </c>
      <c r="I4" s="889">
        <f>H4*(1+Setup!$R$12)</f>
        <v>0</v>
      </c>
      <c r="J4" s="889">
        <f>I4*(1+Setup!$R$12)</f>
        <v>0</v>
      </c>
      <c r="K4" s="889">
        <f>J4*(1+Setup!$R$12)</f>
        <v>0</v>
      </c>
      <c r="L4" s="889">
        <f>K4*(1+Setup!$R$12)</f>
        <v>0</v>
      </c>
      <c r="M4" s="889">
        <f>L4*(1+Setup!$R$12)</f>
        <v>0</v>
      </c>
      <c r="N4" s="889">
        <f>M4*(1+Setup!$R$12)</f>
        <v>0</v>
      </c>
      <c r="O4" s="889">
        <f>N4*(1+Setup!$R$12)</f>
        <v>0</v>
      </c>
      <c r="P4" s="889">
        <f>O4*(1+Setup!$R$12)</f>
        <v>0</v>
      </c>
      <c r="Q4" s="889">
        <f>P4*(1+Setup!$R$12)</f>
        <v>0</v>
      </c>
      <c r="R4" s="889">
        <f>Q4*(1+Setup!$R$12)</f>
        <v>0</v>
      </c>
      <c r="S4" s="889">
        <f>R4*(1+Setup!$R$12)</f>
        <v>0</v>
      </c>
      <c r="T4" s="889">
        <f>S4*(1+Setup!$R$12)</f>
        <v>0</v>
      </c>
      <c r="U4" s="889">
        <f>T4*(1+Setup!$R$12)</f>
        <v>0</v>
      </c>
      <c r="V4" s="889">
        <f>U4*(1+Setup!$R$12)</f>
        <v>0</v>
      </c>
      <c r="W4" s="889">
        <f>V4*(1+Setup!$R$12)</f>
        <v>0</v>
      </c>
      <c r="X4" s="889">
        <f>W4*(1+Setup!$R$12)</f>
        <v>0</v>
      </c>
      <c r="Y4" s="889">
        <f>X4*(1+Setup!$R$12)</f>
        <v>0</v>
      </c>
      <c r="Z4" s="889">
        <f>Y4*(1+Setup!$R$12)</f>
        <v>0</v>
      </c>
      <c r="AA4" s="889">
        <f>Z4*(1+Setup!$R$12)</f>
        <v>0</v>
      </c>
      <c r="AB4" s="889">
        <f>AA4*(1+Setup!$R$12)</f>
        <v>0</v>
      </c>
      <c r="AC4" s="889">
        <f>AB4*(1+Setup!$R$12)</f>
        <v>0</v>
      </c>
      <c r="AD4" s="889">
        <f>AC4*(1+Setup!$R$12)</f>
        <v>0</v>
      </c>
      <c r="AE4" s="889">
        <f>AD4*(1+Setup!$R$12)</f>
        <v>0</v>
      </c>
      <c r="AF4" s="889">
        <f>AE4*(1+Setup!$R$12)</f>
        <v>0</v>
      </c>
      <c r="AG4" s="889">
        <f>AF4*(1+Setup!$R$12)</f>
        <v>0</v>
      </c>
      <c r="AH4" s="889">
        <f>AG4*(1+Setup!$R$12)</f>
        <v>0</v>
      </c>
      <c r="AI4" s="889">
        <f>AH4*(1+Setup!$R$12)</f>
        <v>0</v>
      </c>
      <c r="AJ4" s="889">
        <f>AI4*(1+Setup!$R$12)</f>
        <v>0</v>
      </c>
      <c r="AK4" s="889">
        <f>AJ4*(1+Setup!$R$12)</f>
        <v>0</v>
      </c>
      <c r="AL4" s="889">
        <f>AK4*(1+Setup!$R$12)</f>
        <v>0</v>
      </c>
      <c r="AM4" s="889">
        <f>AL4*(1+Setup!$R$12)</f>
        <v>0</v>
      </c>
      <c r="AN4" s="889">
        <f>AM4*(1+Setup!$R$12)</f>
        <v>0</v>
      </c>
      <c r="AO4" s="889">
        <f>AN4*(1+Setup!$R$12)</f>
        <v>0</v>
      </c>
      <c r="AP4" s="889">
        <f>AO4*(1+Setup!$R$12)</f>
        <v>0</v>
      </c>
      <c r="AQ4" s="889">
        <f>AP4*(1+Setup!$R$12)</f>
        <v>0</v>
      </c>
      <c r="AR4" s="889">
        <f>AQ4*(1+Setup!$R$12)</f>
        <v>0</v>
      </c>
      <c r="AS4" s="889">
        <f>AR4*(1+Setup!$R$12)</f>
        <v>0</v>
      </c>
      <c r="AT4" s="889">
        <f>AS4*(1+Setup!$R$12)</f>
        <v>0</v>
      </c>
      <c r="AU4" s="431"/>
      <c r="AV4" s="431"/>
      <c r="AW4" s="431"/>
      <c r="AX4" s="431"/>
      <c r="AY4" s="431"/>
      <c r="AZ4" s="431"/>
      <c r="BA4" s="431"/>
      <c r="BB4" s="432"/>
      <c r="BC4" s="432"/>
      <c r="BD4" s="432"/>
      <c r="BE4" s="432"/>
      <c r="BF4" s="432"/>
      <c r="BG4" s="432"/>
      <c r="BH4" s="432"/>
      <c r="BI4" s="432"/>
      <c r="BJ4" s="432"/>
      <c r="BK4" s="432"/>
      <c r="BL4" s="432"/>
      <c r="BM4" s="432"/>
      <c r="BN4" s="432"/>
      <c r="BO4" s="432"/>
      <c r="BP4" s="432"/>
      <c r="BQ4" s="432"/>
      <c r="BR4" s="432"/>
      <c r="BS4" s="432"/>
      <c r="BT4" s="432"/>
      <c r="BU4" s="432"/>
      <c r="BV4" s="432"/>
      <c r="BW4" s="432"/>
      <c r="BX4" s="432"/>
      <c r="BY4" s="432"/>
      <c r="BZ4" s="432"/>
      <c r="CA4" s="432"/>
      <c r="CB4" s="432"/>
      <c r="CC4" s="432"/>
      <c r="CD4" s="432"/>
      <c r="CE4" s="432"/>
      <c r="CF4" s="432"/>
      <c r="CG4" s="432"/>
      <c r="CH4" s="432"/>
      <c r="CI4" s="432"/>
      <c r="CJ4" s="432"/>
      <c r="CK4" s="432"/>
      <c r="CL4" s="432"/>
      <c r="CM4" s="432"/>
      <c r="CN4" s="432"/>
      <c r="CO4" s="432"/>
      <c r="CP4" s="432"/>
      <c r="CQ4" s="432"/>
      <c r="CR4" s="432"/>
      <c r="CS4" s="432"/>
      <c r="CT4" s="432"/>
      <c r="CU4" s="432"/>
      <c r="CV4" s="432"/>
      <c r="CW4" s="432"/>
      <c r="CX4" s="432"/>
      <c r="CY4" s="432"/>
      <c r="CZ4" s="432"/>
      <c r="DA4" s="432"/>
      <c r="DB4" s="432"/>
      <c r="DC4" s="432"/>
      <c r="DD4" s="432"/>
      <c r="DE4" s="432"/>
      <c r="DF4" s="432"/>
      <c r="DG4" s="432"/>
      <c r="DH4" s="432"/>
      <c r="DI4" s="432"/>
      <c r="DJ4" s="432"/>
      <c r="DK4" s="432"/>
      <c r="DL4" s="432"/>
      <c r="DM4" s="432"/>
      <c r="DN4" s="432"/>
      <c r="DO4" s="432"/>
      <c r="DP4" s="432"/>
      <c r="DQ4" s="432"/>
      <c r="DR4" s="432"/>
      <c r="DS4" s="432"/>
      <c r="DT4" s="432"/>
      <c r="DU4" s="432"/>
      <c r="DV4" s="432"/>
      <c r="DW4" s="432"/>
      <c r="DX4" s="432"/>
      <c r="DY4" s="432"/>
      <c r="DZ4" s="432"/>
      <c r="EA4" s="432"/>
      <c r="EB4" s="432"/>
      <c r="EC4" s="432"/>
      <c r="ED4" s="432"/>
      <c r="EE4" s="432"/>
      <c r="EF4" s="432"/>
      <c r="EG4" s="432"/>
      <c r="EH4" s="432"/>
      <c r="EI4" s="432"/>
      <c r="EJ4" s="432"/>
      <c r="EK4" s="432"/>
      <c r="EL4" s="432"/>
      <c r="EM4" s="432"/>
      <c r="EN4" s="432"/>
      <c r="EO4" s="432"/>
      <c r="EP4" s="432"/>
      <c r="EQ4" s="432"/>
      <c r="ER4" s="432"/>
      <c r="ES4" s="432"/>
      <c r="ET4" s="432"/>
      <c r="EU4" s="432"/>
      <c r="EV4" s="432"/>
      <c r="EW4" s="432"/>
      <c r="EX4" s="432"/>
      <c r="EY4" s="432"/>
      <c r="EZ4" s="432"/>
      <c r="FA4" s="432"/>
      <c r="FB4" s="432"/>
      <c r="FC4" s="432"/>
      <c r="FD4" s="432"/>
      <c r="FE4" s="432"/>
      <c r="FF4" s="432"/>
      <c r="FG4" s="432"/>
      <c r="FH4" s="432"/>
      <c r="FI4" s="432"/>
    </row>
    <row r="5" spans="1:165" s="437" customFormat="1" hidden="1">
      <c r="A5" s="433" t="s">
        <v>155</v>
      </c>
      <c r="B5" s="434" t="str">
        <f>IF(Deal_Overview!$V$17&gt;0,G5/Deal_Overview!$V$17,"")</f>
        <v/>
      </c>
      <c r="C5" s="435">
        <f>Setup!R14</f>
        <v>0.03</v>
      </c>
      <c r="D5" s="436">
        <v>0</v>
      </c>
      <c r="E5" s="436">
        <v>0</v>
      </c>
      <c r="F5" s="436">
        <v>0</v>
      </c>
      <c r="G5" s="434">
        <f>'Units&amp;Income'!E128</f>
        <v>0</v>
      </c>
      <c r="H5" s="890">
        <f>G5*(1+Setup!$R$12)</f>
        <v>0</v>
      </c>
      <c r="I5" s="890">
        <f>H5*(1+Setup!$R$12)</f>
        <v>0</v>
      </c>
      <c r="J5" s="890">
        <f>I5*(1+Setup!$R$12)</f>
        <v>0</v>
      </c>
      <c r="K5" s="890">
        <f>J5*(1+Setup!$R$12)</f>
        <v>0</v>
      </c>
      <c r="L5" s="890">
        <f>K5*(1+Setup!$R$12)</f>
        <v>0</v>
      </c>
      <c r="M5" s="890">
        <f>L5*(1+Setup!$R$12)</f>
        <v>0</v>
      </c>
      <c r="N5" s="890">
        <f>M5*(1+Setup!$R$12)</f>
        <v>0</v>
      </c>
      <c r="O5" s="890">
        <f>N5*(1+Setup!$R$12)</f>
        <v>0</v>
      </c>
      <c r="P5" s="890">
        <f>O5*(1+Setup!$R$12)</f>
        <v>0</v>
      </c>
      <c r="Q5" s="890">
        <f>P5*(1+Setup!$R$12)</f>
        <v>0</v>
      </c>
      <c r="R5" s="890">
        <f>Q5*(1+Setup!$R$12)</f>
        <v>0</v>
      </c>
      <c r="S5" s="890">
        <f>R5*(1+Setup!$R$12)</f>
        <v>0</v>
      </c>
      <c r="T5" s="890">
        <f>S5*(1+Setup!$R$12)</f>
        <v>0</v>
      </c>
      <c r="U5" s="890">
        <f>T5*(1+Setup!$R$12)</f>
        <v>0</v>
      </c>
      <c r="V5" s="890">
        <f>U5*(1+Setup!$R$12)</f>
        <v>0</v>
      </c>
      <c r="W5" s="890">
        <f>V5*(1+Setup!$R$12)</f>
        <v>0</v>
      </c>
      <c r="X5" s="890">
        <f>W5*(1+Setup!$R$12)</f>
        <v>0</v>
      </c>
      <c r="Y5" s="890">
        <f>X5*(1+Setup!$R$12)</f>
        <v>0</v>
      </c>
      <c r="Z5" s="890">
        <f>Y5*(1+Setup!$R$12)</f>
        <v>0</v>
      </c>
      <c r="AA5" s="890">
        <f>Z5*(1+Setup!$R$12)</f>
        <v>0</v>
      </c>
      <c r="AB5" s="890">
        <f>AA5*(1+Setup!$R$12)</f>
        <v>0</v>
      </c>
      <c r="AC5" s="890">
        <f>AB5*(1+Setup!$R$12)</f>
        <v>0</v>
      </c>
      <c r="AD5" s="890">
        <f>AC5*(1+Setup!$R$12)</f>
        <v>0</v>
      </c>
      <c r="AE5" s="890">
        <f>AD5*(1+Setup!$R$12)</f>
        <v>0</v>
      </c>
      <c r="AF5" s="890">
        <f>AE5*(1+Setup!$R$12)</f>
        <v>0</v>
      </c>
      <c r="AG5" s="890">
        <f>AF5*(1+Setup!$R$12)</f>
        <v>0</v>
      </c>
      <c r="AH5" s="890">
        <f>AG5*(1+Setup!$R$12)</f>
        <v>0</v>
      </c>
      <c r="AI5" s="890">
        <f>AH5*(1+Setup!$R$12)</f>
        <v>0</v>
      </c>
      <c r="AJ5" s="890">
        <f>AI5*(1+Setup!$R$12)</f>
        <v>0</v>
      </c>
      <c r="AK5" s="890">
        <f>AJ5*(1+Setup!$R$12)</f>
        <v>0</v>
      </c>
      <c r="AL5" s="890">
        <f>AK5*(1+Setup!$R$12)</f>
        <v>0</v>
      </c>
      <c r="AM5" s="890">
        <f>AL5*(1+Setup!$R$12)</f>
        <v>0</v>
      </c>
      <c r="AN5" s="890">
        <f>AM5*(1+Setup!$R$12)</f>
        <v>0</v>
      </c>
      <c r="AO5" s="890">
        <f>AN5*(1+Setup!$R$12)</f>
        <v>0</v>
      </c>
      <c r="AP5" s="890">
        <f>AO5*(1+Setup!$R$12)</f>
        <v>0</v>
      </c>
      <c r="AQ5" s="890">
        <f>AP5*(1+Setup!$R$12)</f>
        <v>0</v>
      </c>
      <c r="AR5" s="890">
        <f>AQ5*(1+Setup!$R$12)</f>
        <v>0</v>
      </c>
      <c r="AS5" s="890">
        <f>AR5*(1+Setup!$R$12)</f>
        <v>0</v>
      </c>
      <c r="AT5" s="890">
        <f>AS5*(1+Setup!$R$12)</f>
        <v>0</v>
      </c>
      <c r="AU5" s="431"/>
      <c r="AV5" s="431"/>
      <c r="AW5" s="431"/>
      <c r="AX5" s="431"/>
      <c r="AY5" s="431"/>
      <c r="AZ5" s="431"/>
      <c r="BA5" s="431"/>
      <c r="BB5" s="432"/>
      <c r="BC5" s="432"/>
      <c r="BD5" s="432"/>
      <c r="BE5" s="432"/>
      <c r="BF5" s="432"/>
      <c r="BG5" s="432"/>
      <c r="BH5" s="432"/>
      <c r="BI5" s="432"/>
      <c r="BJ5" s="432"/>
      <c r="BK5" s="432"/>
      <c r="BL5" s="432"/>
      <c r="BM5" s="432"/>
      <c r="BN5" s="432"/>
      <c r="BO5" s="432"/>
      <c r="BP5" s="432"/>
      <c r="BQ5" s="432"/>
      <c r="BR5" s="432"/>
      <c r="BS5" s="432"/>
      <c r="BT5" s="432"/>
      <c r="BU5" s="432"/>
      <c r="BV5" s="432"/>
      <c r="BW5" s="432"/>
      <c r="BX5" s="432"/>
      <c r="BY5" s="432"/>
      <c r="BZ5" s="432"/>
      <c r="CA5" s="432"/>
      <c r="CB5" s="432"/>
      <c r="CC5" s="432"/>
      <c r="CD5" s="432"/>
      <c r="CE5" s="432"/>
      <c r="CF5" s="432"/>
      <c r="CG5" s="432"/>
      <c r="CH5" s="432"/>
      <c r="CI5" s="432"/>
      <c r="CJ5" s="432"/>
      <c r="CK5" s="432"/>
      <c r="CL5" s="432"/>
      <c r="CM5" s="432"/>
      <c r="CN5" s="432"/>
      <c r="CO5" s="432"/>
      <c r="CP5" s="432"/>
      <c r="CQ5" s="432"/>
      <c r="CR5" s="432"/>
      <c r="CS5" s="432"/>
      <c r="CT5" s="432"/>
      <c r="CU5" s="432"/>
      <c r="CV5" s="432"/>
      <c r="CW5" s="432"/>
      <c r="CX5" s="432"/>
      <c r="CY5" s="432"/>
      <c r="CZ5" s="432"/>
      <c r="DA5" s="432"/>
      <c r="DB5" s="432"/>
      <c r="DC5" s="432"/>
      <c r="DD5" s="432"/>
      <c r="DE5" s="432"/>
      <c r="DF5" s="432"/>
      <c r="DG5" s="432"/>
      <c r="DH5" s="432"/>
      <c r="DI5" s="432"/>
      <c r="DJ5" s="432"/>
      <c r="DK5" s="432"/>
      <c r="DL5" s="432"/>
      <c r="DM5" s="432"/>
      <c r="DN5" s="432"/>
      <c r="DO5" s="432"/>
      <c r="DP5" s="432"/>
      <c r="DQ5" s="432"/>
      <c r="DR5" s="432"/>
      <c r="DS5" s="432"/>
      <c r="DT5" s="432"/>
      <c r="DU5" s="432"/>
      <c r="DV5" s="432"/>
      <c r="DW5" s="432"/>
      <c r="DX5" s="432"/>
      <c r="DY5" s="432"/>
      <c r="DZ5" s="432"/>
      <c r="EA5" s="432"/>
      <c r="EB5" s="432"/>
      <c r="EC5" s="432"/>
      <c r="ED5" s="432"/>
      <c r="EE5" s="432"/>
      <c r="EF5" s="432"/>
      <c r="EG5" s="432"/>
      <c r="EH5" s="432"/>
      <c r="EI5" s="432"/>
      <c r="EJ5" s="432"/>
      <c r="EK5" s="432"/>
      <c r="EL5" s="432"/>
      <c r="EM5" s="432"/>
      <c r="EN5" s="432"/>
      <c r="EO5" s="432"/>
      <c r="EP5" s="432"/>
      <c r="EQ5" s="432"/>
      <c r="ER5" s="432"/>
      <c r="ES5" s="432"/>
      <c r="ET5" s="432"/>
      <c r="EU5" s="432"/>
      <c r="EV5" s="432"/>
      <c r="EW5" s="432"/>
      <c r="EX5" s="432"/>
      <c r="EY5" s="432"/>
      <c r="EZ5" s="432"/>
      <c r="FA5" s="432"/>
      <c r="FB5" s="432"/>
      <c r="FC5" s="432"/>
      <c r="FD5" s="432"/>
      <c r="FE5" s="432"/>
      <c r="FF5" s="432"/>
      <c r="FG5" s="432"/>
      <c r="FH5" s="432"/>
      <c r="FI5" s="432"/>
    </row>
    <row r="6" spans="1:165" s="427" customFormat="1">
      <c r="A6" s="1451" t="s">
        <v>785</v>
      </c>
      <c r="B6" s="1459">
        <f>SUM(B3:B5)</f>
        <v>0</v>
      </c>
      <c r="C6" s="1453"/>
      <c r="D6" s="1459">
        <f>SUM(D3:D5)</f>
        <v>0</v>
      </c>
      <c r="E6" s="1459">
        <f>SUM(E3:E5)</f>
        <v>0</v>
      </c>
      <c r="F6" s="1459">
        <f>SUM(F3:F5)</f>
        <v>0</v>
      </c>
      <c r="G6" s="1459">
        <f>SUM(G3:G5)</f>
        <v>0</v>
      </c>
      <c r="H6" s="1459">
        <f>SUM(H3:H5)</f>
        <v>0</v>
      </c>
      <c r="I6" s="1459">
        <f t="shared" ref="I6:AT6" si="1">SUM(I3:I5)</f>
        <v>0</v>
      </c>
      <c r="J6" s="1459">
        <f t="shared" si="1"/>
        <v>0</v>
      </c>
      <c r="K6" s="1459">
        <f t="shared" si="1"/>
        <v>0</v>
      </c>
      <c r="L6" s="1459">
        <f t="shared" si="1"/>
        <v>0</v>
      </c>
      <c r="M6" s="1459">
        <f t="shared" si="1"/>
        <v>0</v>
      </c>
      <c r="N6" s="1459">
        <f t="shared" si="1"/>
        <v>0</v>
      </c>
      <c r="O6" s="1459">
        <f t="shared" si="1"/>
        <v>0</v>
      </c>
      <c r="P6" s="1459">
        <f t="shared" si="1"/>
        <v>0</v>
      </c>
      <c r="Q6" s="1459">
        <f t="shared" si="1"/>
        <v>0</v>
      </c>
      <c r="R6" s="1459">
        <f t="shared" si="1"/>
        <v>0</v>
      </c>
      <c r="S6" s="1459">
        <f t="shared" si="1"/>
        <v>0</v>
      </c>
      <c r="T6" s="1459">
        <f t="shared" si="1"/>
        <v>0</v>
      </c>
      <c r="U6" s="1459">
        <f t="shared" si="1"/>
        <v>0</v>
      </c>
      <c r="V6" s="1459">
        <f t="shared" si="1"/>
        <v>0</v>
      </c>
      <c r="W6" s="1459">
        <f t="shared" si="1"/>
        <v>0</v>
      </c>
      <c r="X6" s="1459">
        <f t="shared" si="1"/>
        <v>0</v>
      </c>
      <c r="Y6" s="1459">
        <f t="shared" si="1"/>
        <v>0</v>
      </c>
      <c r="Z6" s="1459">
        <f t="shared" si="1"/>
        <v>0</v>
      </c>
      <c r="AA6" s="1459">
        <f t="shared" si="1"/>
        <v>0</v>
      </c>
      <c r="AB6" s="1459">
        <f t="shared" si="1"/>
        <v>0</v>
      </c>
      <c r="AC6" s="1459">
        <f t="shared" si="1"/>
        <v>0</v>
      </c>
      <c r="AD6" s="1459">
        <f t="shared" si="1"/>
        <v>0</v>
      </c>
      <c r="AE6" s="1459">
        <f t="shared" si="1"/>
        <v>0</v>
      </c>
      <c r="AF6" s="1459">
        <f t="shared" si="1"/>
        <v>0</v>
      </c>
      <c r="AG6" s="1459">
        <f t="shared" si="1"/>
        <v>0</v>
      </c>
      <c r="AH6" s="1459">
        <f t="shared" si="1"/>
        <v>0</v>
      </c>
      <c r="AI6" s="1459">
        <f t="shared" si="1"/>
        <v>0</v>
      </c>
      <c r="AJ6" s="1459">
        <f t="shared" si="1"/>
        <v>0</v>
      </c>
      <c r="AK6" s="1459">
        <f t="shared" si="1"/>
        <v>0</v>
      </c>
      <c r="AL6" s="1459">
        <f t="shared" si="1"/>
        <v>0</v>
      </c>
      <c r="AM6" s="1459">
        <f t="shared" si="1"/>
        <v>0</v>
      </c>
      <c r="AN6" s="1459">
        <f t="shared" si="1"/>
        <v>0</v>
      </c>
      <c r="AO6" s="1459">
        <f t="shared" si="1"/>
        <v>0</v>
      </c>
      <c r="AP6" s="1459">
        <f t="shared" si="1"/>
        <v>0</v>
      </c>
      <c r="AQ6" s="1459">
        <f t="shared" si="1"/>
        <v>0</v>
      </c>
      <c r="AR6" s="1459">
        <f t="shared" si="1"/>
        <v>0</v>
      </c>
      <c r="AS6" s="1459">
        <f t="shared" si="1"/>
        <v>0</v>
      </c>
      <c r="AT6" s="1459">
        <f t="shared" si="1"/>
        <v>0</v>
      </c>
      <c r="AU6" s="1341"/>
      <c r="AV6" s="1341"/>
      <c r="AW6" s="1341"/>
      <c r="AX6" s="1341"/>
      <c r="AY6" s="1341"/>
      <c r="AZ6" s="1341"/>
      <c r="BA6" s="1341"/>
      <c r="BB6" s="1454"/>
      <c r="BC6" s="1454"/>
      <c r="BD6" s="1454"/>
      <c r="BE6" s="1454"/>
      <c r="BF6" s="1454"/>
      <c r="BG6" s="1454"/>
      <c r="BH6" s="1454"/>
      <c r="BI6" s="1454"/>
      <c r="BJ6" s="1454"/>
      <c r="BK6" s="1454"/>
      <c r="BL6" s="1454"/>
      <c r="BM6" s="1454"/>
      <c r="BN6" s="1454"/>
      <c r="BO6" s="1454"/>
      <c r="BP6" s="1454"/>
      <c r="BQ6" s="1454"/>
      <c r="BR6" s="1454"/>
      <c r="BS6" s="1454"/>
      <c r="BT6" s="1454"/>
      <c r="BU6" s="1454"/>
      <c r="BV6" s="1454"/>
      <c r="BW6" s="1454"/>
      <c r="BX6" s="1454"/>
      <c r="BY6" s="1454"/>
      <c r="BZ6" s="1454"/>
      <c r="CA6" s="1454"/>
      <c r="CB6" s="1454"/>
      <c r="CC6" s="1454"/>
      <c r="CD6" s="1454"/>
      <c r="CE6" s="1454"/>
      <c r="CF6" s="1454"/>
      <c r="CG6" s="1454"/>
      <c r="CH6" s="1454"/>
      <c r="CI6" s="1454"/>
      <c r="CJ6" s="1454"/>
      <c r="CK6" s="1454"/>
      <c r="CL6" s="1454"/>
      <c r="CM6" s="1454"/>
      <c r="CN6" s="1454"/>
      <c r="CO6" s="1454"/>
      <c r="CP6" s="1454"/>
      <c r="CQ6" s="1454"/>
      <c r="CR6" s="1454"/>
      <c r="CS6" s="1454"/>
      <c r="CT6" s="1454"/>
      <c r="CU6" s="1454"/>
      <c r="CV6" s="1454"/>
      <c r="CW6" s="1454"/>
      <c r="CX6" s="1454"/>
      <c r="CY6" s="1454"/>
      <c r="CZ6" s="1454"/>
      <c r="DA6" s="1454"/>
      <c r="DB6" s="1454"/>
      <c r="DC6" s="1454"/>
      <c r="DD6" s="1454"/>
      <c r="DE6" s="1454"/>
      <c r="DF6" s="1454"/>
      <c r="DG6" s="1454"/>
      <c r="DH6" s="1454"/>
      <c r="DI6" s="1454"/>
      <c r="DJ6" s="1454"/>
      <c r="DK6" s="1454"/>
      <c r="DL6" s="1454"/>
      <c r="DM6" s="1454"/>
      <c r="DN6" s="1454"/>
      <c r="DO6" s="1454"/>
      <c r="DP6" s="1454"/>
      <c r="DQ6" s="1454"/>
      <c r="DR6" s="1454"/>
      <c r="DS6" s="1454"/>
      <c r="DT6" s="1454"/>
      <c r="DU6" s="1454"/>
      <c r="DV6" s="1454"/>
      <c r="DW6" s="1454"/>
      <c r="DX6" s="1454"/>
      <c r="DY6" s="1454"/>
      <c r="DZ6" s="1454"/>
      <c r="EA6" s="1454"/>
      <c r="EB6" s="1454"/>
      <c r="EC6" s="1454"/>
      <c r="ED6" s="1454"/>
      <c r="EE6" s="1454"/>
      <c r="EF6" s="1454"/>
      <c r="EG6" s="1454"/>
      <c r="EH6" s="1454"/>
      <c r="EI6" s="1454"/>
      <c r="EJ6" s="1454"/>
      <c r="EK6" s="1454"/>
      <c r="EL6" s="1454"/>
      <c r="EM6" s="1454"/>
      <c r="EN6" s="1454"/>
      <c r="EO6" s="1454"/>
      <c r="EP6" s="1454"/>
      <c r="EQ6" s="1454"/>
      <c r="ER6" s="1454"/>
      <c r="ES6" s="1454"/>
      <c r="ET6" s="1454"/>
      <c r="EU6" s="1454"/>
      <c r="EV6" s="1454"/>
      <c r="EW6" s="1454"/>
      <c r="EX6" s="1454"/>
      <c r="EY6" s="1454"/>
      <c r="EZ6" s="1454"/>
      <c r="FA6" s="1454"/>
      <c r="FB6" s="1454"/>
      <c r="FC6" s="1454"/>
      <c r="FD6" s="1454"/>
      <c r="FE6" s="1454"/>
      <c r="FF6" s="1454"/>
      <c r="FG6" s="1454"/>
      <c r="FH6" s="1454"/>
      <c r="FI6" s="1454"/>
    </row>
    <row r="7" spans="1:165" s="298" customFormat="1" hidden="1">
      <c r="A7" s="429" t="s">
        <v>158</v>
      </c>
      <c r="B7" s="297" t="str">
        <f>IF(Deal_Overview!$V$17&gt;0,G7/Deal_Overview!$V$17,"")</f>
        <v/>
      </c>
      <c r="C7" s="430">
        <f>C3</f>
        <v>0.02</v>
      </c>
      <c r="D7" s="289">
        <f>-0.1*D3</f>
        <v>0</v>
      </c>
      <c r="E7" s="289">
        <f>-0.1*E3</f>
        <v>0</v>
      </c>
      <c r="F7" s="289">
        <f>-0.1*F3</f>
        <v>0</v>
      </c>
      <c r="G7" s="297">
        <f>G3*-Setup!$R$11</f>
        <v>0</v>
      </c>
      <c r="H7" s="297">
        <f>H3*-Setup!$R$11</f>
        <v>0</v>
      </c>
      <c r="I7" s="297">
        <f>I3*-Setup!$R$11</f>
        <v>0</v>
      </c>
      <c r="J7" s="297">
        <f>J3*-Setup!$R$11</f>
        <v>0</v>
      </c>
      <c r="K7" s="297">
        <f>K3*-Setup!$R$11</f>
        <v>0</v>
      </c>
      <c r="L7" s="297">
        <f>L3*-Setup!$R$11</f>
        <v>0</v>
      </c>
      <c r="M7" s="297">
        <f>M3*-Setup!$R$11</f>
        <v>0</v>
      </c>
      <c r="N7" s="297">
        <f>N3*-Setup!$R$11</f>
        <v>0</v>
      </c>
      <c r="O7" s="297">
        <f>O3*-Setup!$R$11</f>
        <v>0</v>
      </c>
      <c r="P7" s="297">
        <f>P3*-Setup!$R$11</f>
        <v>0</v>
      </c>
      <c r="Q7" s="297">
        <f>Q3*-Setup!$R$11</f>
        <v>0</v>
      </c>
      <c r="R7" s="297">
        <f>R3*-Setup!$R$11</f>
        <v>0</v>
      </c>
      <c r="S7" s="297">
        <f>S3*-Setup!$R$11</f>
        <v>0</v>
      </c>
      <c r="T7" s="297">
        <f>T3*-Setup!$R$11</f>
        <v>0</v>
      </c>
      <c r="U7" s="297">
        <f>U3*-Setup!$R$11</f>
        <v>0</v>
      </c>
      <c r="V7" s="297">
        <f>V3*-Setup!$R$11</f>
        <v>0</v>
      </c>
      <c r="W7" s="297">
        <f>W3*-Setup!$R$11</f>
        <v>0</v>
      </c>
      <c r="X7" s="297">
        <f>X3*-Setup!$R$11</f>
        <v>0</v>
      </c>
      <c r="Y7" s="297">
        <f>Y3*-Setup!$R$11</f>
        <v>0</v>
      </c>
      <c r="Z7" s="297">
        <f>Z3*-Setup!$R$11</f>
        <v>0</v>
      </c>
      <c r="AA7" s="297">
        <f>AA3*-Setup!$R$11</f>
        <v>0</v>
      </c>
      <c r="AB7" s="297">
        <f>AB3*-Setup!$R$11</f>
        <v>0</v>
      </c>
      <c r="AC7" s="297">
        <f>AC3*-Setup!$R$11</f>
        <v>0</v>
      </c>
      <c r="AD7" s="297">
        <f>AD3*-Setup!$R$11</f>
        <v>0</v>
      </c>
      <c r="AE7" s="297">
        <f>AE3*-Setup!$R$11</f>
        <v>0</v>
      </c>
      <c r="AF7" s="297">
        <f>AF3*-Setup!$R$11</f>
        <v>0</v>
      </c>
      <c r="AG7" s="297">
        <f>AG3*-Setup!$R$11</f>
        <v>0</v>
      </c>
      <c r="AH7" s="297">
        <f>AH3*-Setup!$R$11</f>
        <v>0</v>
      </c>
      <c r="AI7" s="297">
        <f>AI3*-Setup!$R$11</f>
        <v>0</v>
      </c>
      <c r="AJ7" s="297">
        <f>AJ3*-Setup!$R$11</f>
        <v>0</v>
      </c>
      <c r="AK7" s="297">
        <f>AK3*-Setup!$R$11</f>
        <v>0</v>
      </c>
      <c r="AL7" s="297">
        <f>AL3*-Setup!$R$11</f>
        <v>0</v>
      </c>
      <c r="AM7" s="297">
        <f>AM3*-Setup!$R$11</f>
        <v>0</v>
      </c>
      <c r="AN7" s="297">
        <f>AN3*-Setup!$R$11</f>
        <v>0</v>
      </c>
      <c r="AO7" s="297">
        <f>AO3*-Setup!$R$11</f>
        <v>0</v>
      </c>
      <c r="AP7" s="297">
        <f>AP3*-Setup!$R$11</f>
        <v>0</v>
      </c>
      <c r="AQ7" s="297">
        <f>AQ3*-Setup!$R$11</f>
        <v>0</v>
      </c>
      <c r="AR7" s="297">
        <f>AR3*-Setup!$R$11</f>
        <v>0</v>
      </c>
      <c r="AS7" s="297">
        <f>AS3*-Setup!$R$11</f>
        <v>0</v>
      </c>
      <c r="AT7" s="297">
        <f>AT3*-Setup!$R$11</f>
        <v>0</v>
      </c>
      <c r="AU7" s="431"/>
      <c r="AV7" s="431"/>
      <c r="AW7" s="431"/>
      <c r="AX7" s="431"/>
      <c r="AY7" s="431"/>
      <c r="AZ7" s="431"/>
      <c r="BA7" s="431"/>
      <c r="BB7" s="432"/>
      <c r="BC7" s="432"/>
      <c r="BD7" s="432"/>
      <c r="BE7" s="432"/>
      <c r="BF7" s="432"/>
      <c r="BG7" s="432"/>
      <c r="BH7" s="432"/>
      <c r="BI7" s="432"/>
      <c r="BJ7" s="432"/>
      <c r="BK7" s="432"/>
      <c r="BL7" s="432"/>
      <c r="BM7" s="432"/>
      <c r="BN7" s="432"/>
      <c r="BO7" s="432"/>
      <c r="BP7" s="432"/>
      <c r="BQ7" s="432"/>
      <c r="BR7" s="432"/>
      <c r="BS7" s="432"/>
      <c r="BT7" s="432"/>
      <c r="BU7" s="432"/>
      <c r="BV7" s="432"/>
      <c r="BW7" s="432"/>
      <c r="BX7" s="432"/>
      <c r="BY7" s="432"/>
      <c r="BZ7" s="432"/>
      <c r="CA7" s="432"/>
      <c r="CB7" s="432"/>
      <c r="CC7" s="432"/>
      <c r="CD7" s="432"/>
      <c r="CE7" s="432"/>
      <c r="CF7" s="432"/>
      <c r="CG7" s="432"/>
      <c r="CH7" s="432"/>
      <c r="CI7" s="432"/>
      <c r="CJ7" s="432"/>
      <c r="CK7" s="432"/>
      <c r="CL7" s="432"/>
      <c r="CM7" s="432"/>
      <c r="CN7" s="432"/>
      <c r="CO7" s="432"/>
      <c r="CP7" s="432"/>
      <c r="CQ7" s="432"/>
      <c r="CR7" s="432"/>
      <c r="CS7" s="432"/>
      <c r="CT7" s="432"/>
      <c r="CU7" s="432"/>
      <c r="CV7" s="432"/>
      <c r="CW7" s="432"/>
      <c r="CX7" s="432"/>
      <c r="CY7" s="432"/>
      <c r="CZ7" s="432"/>
      <c r="DA7" s="432"/>
      <c r="DB7" s="432"/>
      <c r="DC7" s="432"/>
      <c r="DD7" s="432"/>
      <c r="DE7" s="432"/>
      <c r="DF7" s="432"/>
      <c r="DG7" s="432"/>
      <c r="DH7" s="432"/>
      <c r="DI7" s="432"/>
      <c r="DJ7" s="432"/>
      <c r="DK7" s="432"/>
      <c r="DL7" s="432"/>
      <c r="DM7" s="432"/>
      <c r="DN7" s="432"/>
      <c r="DO7" s="432"/>
      <c r="DP7" s="432"/>
      <c r="DQ7" s="432"/>
      <c r="DR7" s="432"/>
      <c r="DS7" s="432"/>
      <c r="DT7" s="432"/>
      <c r="DU7" s="432"/>
      <c r="DV7" s="432"/>
      <c r="DW7" s="432"/>
      <c r="DX7" s="432"/>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2"/>
      <c r="EZ7" s="432"/>
      <c r="FA7" s="432"/>
      <c r="FB7" s="432"/>
      <c r="FC7" s="432"/>
      <c r="FD7" s="432"/>
      <c r="FE7" s="432"/>
      <c r="FF7" s="432"/>
      <c r="FG7" s="432"/>
      <c r="FH7" s="432"/>
      <c r="FI7" s="432"/>
    </row>
    <row r="8" spans="1:165" s="297" customFormat="1" hidden="1">
      <c r="A8" s="439" t="s">
        <v>786</v>
      </c>
      <c r="B8" s="297" t="str">
        <f>IF(Deal_Overview!$V$17&gt;0,G8/Deal_Overview!$V$17,"")</f>
        <v/>
      </c>
      <c r="C8" s="430">
        <f>C4</f>
        <v>0</v>
      </c>
      <c r="D8" s="289">
        <v>0</v>
      </c>
      <c r="E8" s="289">
        <v>0</v>
      </c>
      <c r="F8" s="289">
        <v>0</v>
      </c>
      <c r="G8" s="297">
        <f>-1*('Units&amp;Income'!D113-'Units&amp;Income'!G113)</f>
        <v>0</v>
      </c>
      <c r="H8" s="297">
        <f>IF(G4&gt;0,$G$8/$G$4*H4,0)</f>
        <v>0</v>
      </c>
      <c r="I8" s="297">
        <f t="shared" ref="I8:AT8" si="2">IF(H4&gt;0,$G$8/$G$4*I4,0)</f>
        <v>0</v>
      </c>
      <c r="J8" s="297">
        <f t="shared" si="2"/>
        <v>0</v>
      </c>
      <c r="K8" s="297">
        <f t="shared" si="2"/>
        <v>0</v>
      </c>
      <c r="L8" s="297">
        <f t="shared" si="2"/>
        <v>0</v>
      </c>
      <c r="M8" s="297">
        <f t="shared" si="2"/>
        <v>0</v>
      </c>
      <c r="N8" s="297">
        <f t="shared" si="2"/>
        <v>0</v>
      </c>
      <c r="O8" s="297">
        <f t="shared" si="2"/>
        <v>0</v>
      </c>
      <c r="P8" s="297">
        <f t="shared" si="2"/>
        <v>0</v>
      </c>
      <c r="Q8" s="297">
        <f t="shared" si="2"/>
        <v>0</v>
      </c>
      <c r="R8" s="297">
        <f t="shared" si="2"/>
        <v>0</v>
      </c>
      <c r="S8" s="297">
        <f t="shared" si="2"/>
        <v>0</v>
      </c>
      <c r="T8" s="297">
        <f t="shared" si="2"/>
        <v>0</v>
      </c>
      <c r="U8" s="297">
        <f t="shared" si="2"/>
        <v>0</v>
      </c>
      <c r="V8" s="297">
        <f t="shared" si="2"/>
        <v>0</v>
      </c>
      <c r="W8" s="297">
        <f t="shared" si="2"/>
        <v>0</v>
      </c>
      <c r="X8" s="297">
        <f t="shared" si="2"/>
        <v>0</v>
      </c>
      <c r="Y8" s="297">
        <f t="shared" si="2"/>
        <v>0</v>
      </c>
      <c r="Z8" s="297">
        <f t="shared" si="2"/>
        <v>0</v>
      </c>
      <c r="AA8" s="297">
        <f t="shared" si="2"/>
        <v>0</v>
      </c>
      <c r="AB8" s="297">
        <f t="shared" si="2"/>
        <v>0</v>
      </c>
      <c r="AC8" s="297">
        <f t="shared" si="2"/>
        <v>0</v>
      </c>
      <c r="AD8" s="297">
        <f t="shared" si="2"/>
        <v>0</v>
      </c>
      <c r="AE8" s="297">
        <f t="shared" si="2"/>
        <v>0</v>
      </c>
      <c r="AF8" s="297">
        <f t="shared" si="2"/>
        <v>0</v>
      </c>
      <c r="AG8" s="297">
        <f t="shared" si="2"/>
        <v>0</v>
      </c>
      <c r="AH8" s="297">
        <f t="shared" si="2"/>
        <v>0</v>
      </c>
      <c r="AI8" s="297">
        <f t="shared" si="2"/>
        <v>0</v>
      </c>
      <c r="AJ8" s="297">
        <f t="shared" si="2"/>
        <v>0</v>
      </c>
      <c r="AK8" s="297">
        <f t="shared" si="2"/>
        <v>0</v>
      </c>
      <c r="AL8" s="297">
        <f t="shared" si="2"/>
        <v>0</v>
      </c>
      <c r="AM8" s="297">
        <f t="shared" si="2"/>
        <v>0</v>
      </c>
      <c r="AN8" s="297">
        <f t="shared" si="2"/>
        <v>0</v>
      </c>
      <c r="AO8" s="297">
        <f t="shared" si="2"/>
        <v>0</v>
      </c>
      <c r="AP8" s="297">
        <f t="shared" si="2"/>
        <v>0</v>
      </c>
      <c r="AQ8" s="297">
        <f t="shared" si="2"/>
        <v>0</v>
      </c>
      <c r="AR8" s="297">
        <f t="shared" si="2"/>
        <v>0</v>
      </c>
      <c r="AS8" s="297">
        <f t="shared" si="2"/>
        <v>0</v>
      </c>
      <c r="AT8" s="297">
        <f t="shared" si="2"/>
        <v>0</v>
      </c>
      <c r="AU8" s="431"/>
      <c r="AV8" s="431"/>
      <c r="AW8" s="431"/>
      <c r="AX8" s="431"/>
      <c r="AY8" s="431"/>
      <c r="AZ8" s="431"/>
      <c r="BA8" s="431"/>
      <c r="BB8" s="431"/>
      <c r="BC8" s="431"/>
      <c r="BD8" s="431"/>
      <c r="BE8" s="431"/>
      <c r="BF8" s="431"/>
      <c r="BG8" s="431"/>
      <c r="BH8" s="431"/>
      <c r="BI8" s="431"/>
      <c r="BJ8" s="431"/>
      <c r="BK8" s="431"/>
      <c r="BL8" s="431"/>
      <c r="BM8" s="431"/>
      <c r="BN8" s="431"/>
      <c r="BO8" s="431"/>
      <c r="BP8" s="431"/>
      <c r="BQ8" s="431"/>
      <c r="BR8" s="431"/>
      <c r="BS8" s="431"/>
      <c r="BT8" s="431"/>
      <c r="BU8" s="431"/>
      <c r="BV8" s="431"/>
      <c r="BW8" s="431"/>
      <c r="BX8" s="431"/>
      <c r="BY8" s="431"/>
      <c r="BZ8" s="431"/>
      <c r="CA8" s="431"/>
      <c r="CB8" s="431"/>
      <c r="CC8" s="431"/>
      <c r="CD8" s="431"/>
      <c r="CE8" s="431"/>
      <c r="CF8" s="431"/>
      <c r="CG8" s="431"/>
      <c r="CH8" s="431"/>
      <c r="CI8" s="431"/>
      <c r="CJ8" s="431"/>
      <c r="CK8" s="431"/>
      <c r="CL8" s="431"/>
      <c r="CM8" s="431"/>
      <c r="CN8" s="431"/>
      <c r="CO8" s="431"/>
      <c r="CP8" s="431"/>
      <c r="CQ8" s="431"/>
      <c r="CR8" s="431"/>
      <c r="CS8" s="431"/>
      <c r="CT8" s="431"/>
      <c r="CU8" s="431"/>
      <c r="CV8" s="431"/>
      <c r="CW8" s="431"/>
      <c r="CX8" s="431"/>
      <c r="CY8" s="431"/>
      <c r="CZ8" s="431"/>
      <c r="DA8" s="431"/>
      <c r="DB8" s="431"/>
      <c r="DC8" s="431"/>
      <c r="DD8" s="431"/>
      <c r="DE8" s="431"/>
      <c r="DF8" s="431"/>
      <c r="DG8" s="431"/>
      <c r="DH8" s="431"/>
      <c r="DI8" s="431"/>
      <c r="DJ8" s="431"/>
      <c r="DK8" s="431"/>
      <c r="DL8" s="431"/>
      <c r="DM8" s="431"/>
      <c r="DN8" s="431"/>
      <c r="DO8" s="431"/>
      <c r="DP8" s="431"/>
      <c r="DQ8" s="431"/>
      <c r="DR8" s="431"/>
      <c r="DS8" s="431"/>
      <c r="DT8" s="431"/>
      <c r="DU8" s="431"/>
      <c r="DV8" s="431"/>
      <c r="DW8" s="431"/>
      <c r="DX8" s="431"/>
      <c r="DY8" s="431"/>
      <c r="DZ8" s="431"/>
      <c r="EA8" s="431"/>
      <c r="EB8" s="431"/>
      <c r="EC8" s="431"/>
      <c r="ED8" s="431"/>
      <c r="EE8" s="431"/>
      <c r="EF8" s="431"/>
      <c r="EG8" s="431"/>
      <c r="EH8" s="431"/>
      <c r="EI8" s="431"/>
      <c r="EJ8" s="431"/>
      <c r="EK8" s="431"/>
      <c r="EL8" s="431"/>
      <c r="EM8" s="431"/>
      <c r="EN8" s="431"/>
      <c r="EO8" s="431"/>
      <c r="EP8" s="431"/>
      <c r="EQ8" s="431"/>
      <c r="ER8" s="431"/>
      <c r="ES8" s="431"/>
      <c r="ET8" s="431"/>
      <c r="EU8" s="431"/>
      <c r="EV8" s="431"/>
      <c r="EW8" s="431"/>
      <c r="EX8" s="431"/>
      <c r="EY8" s="431"/>
      <c r="EZ8" s="431"/>
      <c r="FA8" s="431"/>
      <c r="FB8" s="431"/>
      <c r="FC8" s="431"/>
      <c r="FD8" s="431"/>
      <c r="FE8" s="431"/>
      <c r="FF8" s="431"/>
      <c r="FG8" s="431"/>
      <c r="FH8" s="431"/>
      <c r="FI8" s="431"/>
    </row>
    <row r="9" spans="1:165" s="441" customFormat="1" ht="13.5" hidden="1" thickBot="1">
      <c r="A9" s="440" t="s">
        <v>787</v>
      </c>
      <c r="B9" s="441" t="str">
        <f>IF(Deal_Overview!$V$17&gt;0,G9/Deal_Overview!$V$17,"")</f>
        <v/>
      </c>
      <c r="C9" s="442">
        <f>C5</f>
        <v>0.03</v>
      </c>
      <c r="D9" s="443">
        <v>0</v>
      </c>
      <c r="E9" s="443">
        <v>0</v>
      </c>
      <c r="F9" s="443">
        <v>0</v>
      </c>
      <c r="G9" s="441">
        <f>-1*('Units&amp;Income'!E128-'Units&amp;Income'!G128)</f>
        <v>0</v>
      </c>
      <c r="H9" s="441">
        <f>IF(G5&gt;0,$G$9/$G$5*H5,0)</f>
        <v>0</v>
      </c>
      <c r="I9" s="441">
        <f t="shared" ref="I9:AT9" si="3">IF(H5&gt;0,$G$9/$G$5*I5,0)</f>
        <v>0</v>
      </c>
      <c r="J9" s="441">
        <f t="shared" si="3"/>
        <v>0</v>
      </c>
      <c r="K9" s="441">
        <f t="shared" si="3"/>
        <v>0</v>
      </c>
      <c r="L9" s="441">
        <f t="shared" si="3"/>
        <v>0</v>
      </c>
      <c r="M9" s="441">
        <f t="shared" si="3"/>
        <v>0</v>
      </c>
      <c r="N9" s="441">
        <f t="shared" si="3"/>
        <v>0</v>
      </c>
      <c r="O9" s="441">
        <f t="shared" si="3"/>
        <v>0</v>
      </c>
      <c r="P9" s="441">
        <f t="shared" si="3"/>
        <v>0</v>
      </c>
      <c r="Q9" s="441">
        <f t="shared" si="3"/>
        <v>0</v>
      </c>
      <c r="R9" s="441">
        <f t="shared" si="3"/>
        <v>0</v>
      </c>
      <c r="S9" s="441">
        <f t="shared" si="3"/>
        <v>0</v>
      </c>
      <c r="T9" s="441">
        <f t="shared" si="3"/>
        <v>0</v>
      </c>
      <c r="U9" s="441">
        <f t="shared" si="3"/>
        <v>0</v>
      </c>
      <c r="V9" s="441">
        <f t="shared" si="3"/>
        <v>0</v>
      </c>
      <c r="W9" s="441">
        <f t="shared" si="3"/>
        <v>0</v>
      </c>
      <c r="X9" s="441">
        <f t="shared" si="3"/>
        <v>0</v>
      </c>
      <c r="Y9" s="441">
        <f t="shared" si="3"/>
        <v>0</v>
      </c>
      <c r="Z9" s="441">
        <f t="shared" si="3"/>
        <v>0</v>
      </c>
      <c r="AA9" s="441">
        <f t="shared" si="3"/>
        <v>0</v>
      </c>
      <c r="AB9" s="441">
        <f t="shared" si="3"/>
        <v>0</v>
      </c>
      <c r="AC9" s="441">
        <f t="shared" si="3"/>
        <v>0</v>
      </c>
      <c r="AD9" s="441">
        <f t="shared" si="3"/>
        <v>0</v>
      </c>
      <c r="AE9" s="441">
        <f t="shared" si="3"/>
        <v>0</v>
      </c>
      <c r="AF9" s="441">
        <f t="shared" si="3"/>
        <v>0</v>
      </c>
      <c r="AG9" s="441">
        <f t="shared" si="3"/>
        <v>0</v>
      </c>
      <c r="AH9" s="441">
        <f t="shared" si="3"/>
        <v>0</v>
      </c>
      <c r="AI9" s="441">
        <f t="shared" si="3"/>
        <v>0</v>
      </c>
      <c r="AJ9" s="441">
        <f t="shared" si="3"/>
        <v>0</v>
      </c>
      <c r="AK9" s="441">
        <f t="shared" si="3"/>
        <v>0</v>
      </c>
      <c r="AL9" s="441">
        <f t="shared" si="3"/>
        <v>0</v>
      </c>
      <c r="AM9" s="441">
        <f t="shared" si="3"/>
        <v>0</v>
      </c>
      <c r="AN9" s="441">
        <f t="shared" si="3"/>
        <v>0</v>
      </c>
      <c r="AO9" s="441">
        <f t="shared" si="3"/>
        <v>0</v>
      </c>
      <c r="AP9" s="441">
        <f t="shared" si="3"/>
        <v>0</v>
      </c>
      <c r="AQ9" s="441">
        <f t="shared" si="3"/>
        <v>0</v>
      </c>
      <c r="AR9" s="441">
        <f t="shared" si="3"/>
        <v>0</v>
      </c>
      <c r="AS9" s="441">
        <f t="shared" si="3"/>
        <v>0</v>
      </c>
      <c r="AT9" s="441">
        <f t="shared" si="3"/>
        <v>0</v>
      </c>
      <c r="AU9" s="431"/>
      <c r="AV9" s="431"/>
      <c r="AW9" s="431"/>
      <c r="AX9" s="431"/>
      <c r="AY9" s="431"/>
      <c r="AZ9" s="431"/>
      <c r="BA9" s="431"/>
      <c r="BB9" s="431"/>
      <c r="BC9" s="431"/>
      <c r="BD9" s="431"/>
      <c r="BE9" s="431"/>
      <c r="BF9" s="431"/>
      <c r="BG9" s="431"/>
      <c r="BH9" s="431"/>
      <c r="BI9" s="431"/>
      <c r="BJ9" s="431"/>
      <c r="BK9" s="431"/>
      <c r="BL9" s="431"/>
      <c r="BM9" s="431"/>
      <c r="BN9" s="431"/>
      <c r="BO9" s="431"/>
      <c r="BP9" s="431"/>
      <c r="BQ9" s="431"/>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431"/>
      <c r="EB9" s="431"/>
      <c r="EC9" s="431"/>
      <c r="ED9" s="431"/>
      <c r="EE9" s="431"/>
      <c r="EF9" s="431"/>
      <c r="EG9" s="431"/>
      <c r="EH9" s="431"/>
      <c r="EI9" s="431"/>
      <c r="EJ9" s="431"/>
      <c r="EK9" s="431"/>
      <c r="EL9" s="431"/>
      <c r="EM9" s="431"/>
      <c r="EN9" s="431"/>
      <c r="EO9" s="431"/>
      <c r="EP9" s="431"/>
      <c r="EQ9" s="431"/>
      <c r="ER9" s="431"/>
      <c r="ES9" s="431"/>
      <c r="ET9" s="431"/>
      <c r="EU9" s="431"/>
      <c r="EV9" s="431"/>
      <c r="EW9" s="431"/>
      <c r="EX9" s="431"/>
      <c r="EY9" s="431"/>
      <c r="EZ9" s="431"/>
      <c r="FA9" s="431"/>
      <c r="FB9" s="431"/>
      <c r="FC9" s="431"/>
      <c r="FD9" s="431"/>
      <c r="FE9" s="431"/>
      <c r="FF9" s="431"/>
      <c r="FG9" s="431"/>
      <c r="FH9" s="431"/>
      <c r="FI9" s="431"/>
    </row>
    <row r="10" spans="1:165" s="438" customFormat="1">
      <c r="A10" s="1460" t="s">
        <v>788</v>
      </c>
      <c r="B10" s="1459">
        <f>SUM(B6:B9)</f>
        <v>0</v>
      </c>
      <c r="C10" s="1453"/>
      <c r="D10" s="1459">
        <f>SUM(D6:D9)</f>
        <v>0</v>
      </c>
      <c r="E10" s="1459">
        <f>SUM(E6:E9)</f>
        <v>0</v>
      </c>
      <c r="F10" s="1459">
        <f>SUM(F6:F9)</f>
        <v>0</v>
      </c>
      <c r="G10" s="1459">
        <f>SUM(G6:G9)</f>
        <v>0</v>
      </c>
      <c r="H10" s="1459">
        <f>SUM(H6:H9)</f>
        <v>0</v>
      </c>
      <c r="I10" s="1459">
        <f t="shared" ref="I10:AT10" si="4">SUM(I6:I9)</f>
        <v>0</v>
      </c>
      <c r="J10" s="1459">
        <f t="shared" si="4"/>
        <v>0</v>
      </c>
      <c r="K10" s="1459">
        <f t="shared" si="4"/>
        <v>0</v>
      </c>
      <c r="L10" s="1459">
        <f t="shared" si="4"/>
        <v>0</v>
      </c>
      <c r="M10" s="1459">
        <f t="shared" si="4"/>
        <v>0</v>
      </c>
      <c r="N10" s="1459">
        <f t="shared" si="4"/>
        <v>0</v>
      </c>
      <c r="O10" s="1459">
        <f t="shared" si="4"/>
        <v>0</v>
      </c>
      <c r="P10" s="1459">
        <f t="shared" si="4"/>
        <v>0</v>
      </c>
      <c r="Q10" s="1459">
        <f t="shared" si="4"/>
        <v>0</v>
      </c>
      <c r="R10" s="1459">
        <f t="shared" si="4"/>
        <v>0</v>
      </c>
      <c r="S10" s="1459">
        <f t="shared" si="4"/>
        <v>0</v>
      </c>
      <c r="T10" s="1459">
        <f t="shared" si="4"/>
        <v>0</v>
      </c>
      <c r="U10" s="1459">
        <f t="shared" si="4"/>
        <v>0</v>
      </c>
      <c r="V10" s="1459">
        <f t="shared" si="4"/>
        <v>0</v>
      </c>
      <c r="W10" s="1459">
        <f t="shared" si="4"/>
        <v>0</v>
      </c>
      <c r="X10" s="1459">
        <f t="shared" si="4"/>
        <v>0</v>
      </c>
      <c r="Y10" s="1459">
        <f t="shared" si="4"/>
        <v>0</v>
      </c>
      <c r="Z10" s="1459">
        <f t="shared" si="4"/>
        <v>0</v>
      </c>
      <c r="AA10" s="1459">
        <f t="shared" si="4"/>
        <v>0</v>
      </c>
      <c r="AB10" s="1459">
        <f t="shared" si="4"/>
        <v>0</v>
      </c>
      <c r="AC10" s="1459">
        <f t="shared" si="4"/>
        <v>0</v>
      </c>
      <c r="AD10" s="1459">
        <f t="shared" si="4"/>
        <v>0</v>
      </c>
      <c r="AE10" s="1459">
        <f t="shared" si="4"/>
        <v>0</v>
      </c>
      <c r="AF10" s="1459">
        <f t="shared" si="4"/>
        <v>0</v>
      </c>
      <c r="AG10" s="1459">
        <f t="shared" si="4"/>
        <v>0</v>
      </c>
      <c r="AH10" s="1459">
        <f t="shared" si="4"/>
        <v>0</v>
      </c>
      <c r="AI10" s="1459">
        <f t="shared" si="4"/>
        <v>0</v>
      </c>
      <c r="AJ10" s="1459">
        <f t="shared" si="4"/>
        <v>0</v>
      </c>
      <c r="AK10" s="1459">
        <f t="shared" si="4"/>
        <v>0</v>
      </c>
      <c r="AL10" s="1459">
        <f t="shared" si="4"/>
        <v>0</v>
      </c>
      <c r="AM10" s="1459">
        <f t="shared" si="4"/>
        <v>0</v>
      </c>
      <c r="AN10" s="1459">
        <f t="shared" si="4"/>
        <v>0</v>
      </c>
      <c r="AO10" s="1459">
        <f t="shared" si="4"/>
        <v>0</v>
      </c>
      <c r="AP10" s="1459">
        <f t="shared" si="4"/>
        <v>0</v>
      </c>
      <c r="AQ10" s="1459">
        <f t="shared" si="4"/>
        <v>0</v>
      </c>
      <c r="AR10" s="1459">
        <f t="shared" si="4"/>
        <v>0</v>
      </c>
      <c r="AS10" s="1459">
        <f t="shared" si="4"/>
        <v>0</v>
      </c>
      <c r="AT10" s="1459">
        <f t="shared" si="4"/>
        <v>0</v>
      </c>
      <c r="AU10" s="1341"/>
      <c r="AV10" s="1341"/>
      <c r="AW10" s="1341"/>
      <c r="AX10" s="1341"/>
      <c r="AY10" s="1341"/>
      <c r="AZ10" s="1341"/>
      <c r="BA10" s="1341"/>
      <c r="BB10" s="1341"/>
      <c r="BC10" s="1341"/>
      <c r="BD10" s="1341"/>
      <c r="BE10" s="1341"/>
      <c r="BF10" s="1341"/>
      <c r="BG10" s="1341"/>
      <c r="BH10" s="1341"/>
      <c r="BI10" s="1341"/>
      <c r="BJ10" s="1341"/>
      <c r="BK10" s="1341"/>
      <c r="BL10" s="1341"/>
      <c r="BM10" s="1341"/>
      <c r="BN10" s="1341"/>
      <c r="BO10" s="1341"/>
      <c r="BP10" s="1341"/>
      <c r="BQ10" s="1341"/>
      <c r="BR10" s="1341"/>
      <c r="BS10" s="1341"/>
      <c r="BT10" s="1341"/>
      <c r="BU10" s="1341"/>
      <c r="BV10" s="1341"/>
      <c r="BW10" s="1341"/>
      <c r="BX10" s="1341"/>
      <c r="BY10" s="1341"/>
      <c r="BZ10" s="1341"/>
      <c r="CA10" s="1341"/>
      <c r="CB10" s="1341"/>
      <c r="CC10" s="1341"/>
      <c r="CD10" s="1341"/>
      <c r="CE10" s="1341"/>
      <c r="CF10" s="1341"/>
      <c r="CG10" s="1341"/>
      <c r="CH10" s="1341"/>
      <c r="CI10" s="1341"/>
      <c r="CJ10" s="1341"/>
      <c r="CK10" s="1341"/>
      <c r="CL10" s="1341"/>
      <c r="CM10" s="1341"/>
      <c r="CN10" s="1341"/>
      <c r="CO10" s="1341"/>
      <c r="CP10" s="1341"/>
      <c r="CQ10" s="1341"/>
      <c r="CR10" s="1341"/>
      <c r="CS10" s="1341"/>
      <c r="CT10" s="1341"/>
      <c r="CU10" s="1341"/>
      <c r="CV10" s="1341"/>
      <c r="CW10" s="1341"/>
      <c r="CX10" s="1341"/>
      <c r="CY10" s="1341"/>
      <c r="CZ10" s="1341"/>
      <c r="DA10" s="1341"/>
      <c r="DB10" s="1341"/>
      <c r="DC10" s="1341"/>
      <c r="DD10" s="1341"/>
      <c r="DE10" s="1341"/>
      <c r="DF10" s="1341"/>
      <c r="DG10" s="1341"/>
      <c r="DH10" s="1341"/>
      <c r="DI10" s="1341"/>
      <c r="DJ10" s="1341"/>
      <c r="DK10" s="1341"/>
      <c r="DL10" s="1341"/>
      <c r="DM10" s="1341"/>
      <c r="DN10" s="1341"/>
      <c r="DO10" s="1341"/>
      <c r="DP10" s="1341"/>
      <c r="DQ10" s="1341"/>
      <c r="DR10" s="1341"/>
      <c r="DS10" s="1341"/>
      <c r="DT10" s="1341"/>
      <c r="DU10" s="1341"/>
      <c r="DV10" s="1341"/>
      <c r="DW10" s="1341"/>
      <c r="DX10" s="1341"/>
      <c r="DY10" s="1341"/>
      <c r="DZ10" s="1341"/>
      <c r="EA10" s="1341"/>
      <c r="EB10" s="1341"/>
      <c r="EC10" s="1341"/>
      <c r="ED10" s="1341"/>
      <c r="EE10" s="1341"/>
      <c r="EF10" s="1341"/>
      <c r="EG10" s="1341"/>
      <c r="EH10" s="1341"/>
      <c r="EI10" s="1341"/>
      <c r="EJ10" s="1341"/>
      <c r="EK10" s="1341"/>
      <c r="EL10" s="1341"/>
      <c r="EM10" s="1341"/>
      <c r="EN10" s="1341"/>
      <c r="EO10" s="1341"/>
      <c r="EP10" s="1341"/>
      <c r="EQ10" s="1341"/>
      <c r="ER10" s="1341"/>
      <c r="ES10" s="1341"/>
      <c r="ET10" s="1341"/>
      <c r="EU10" s="1341"/>
      <c r="EV10" s="1341"/>
      <c r="EW10" s="1341"/>
      <c r="EX10" s="1341"/>
      <c r="EY10" s="1341"/>
      <c r="EZ10" s="1341"/>
      <c r="FA10" s="1341"/>
      <c r="FB10" s="1341"/>
      <c r="FC10" s="1341"/>
      <c r="FD10" s="1341"/>
      <c r="FE10" s="1341"/>
      <c r="FF10" s="1341"/>
      <c r="FG10" s="1341"/>
      <c r="FH10" s="1341"/>
      <c r="FI10" s="1341"/>
    </row>
    <row r="11" spans="1:165" s="298" customFormat="1">
      <c r="A11" s="429"/>
      <c r="B11" s="297"/>
      <c r="C11" s="430"/>
      <c r="D11" s="430"/>
      <c r="E11" s="430"/>
      <c r="F11" s="430"/>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431"/>
      <c r="AV11" s="431"/>
      <c r="AW11" s="431"/>
      <c r="AX11" s="431"/>
      <c r="AY11" s="431"/>
      <c r="AZ11" s="431"/>
      <c r="BA11" s="431"/>
      <c r="BB11" s="432"/>
      <c r="BC11" s="432"/>
      <c r="BD11" s="432"/>
      <c r="BE11" s="432"/>
      <c r="BF11" s="432"/>
      <c r="BG11" s="432"/>
      <c r="BH11" s="432"/>
      <c r="BI11" s="432"/>
      <c r="BJ11" s="432"/>
      <c r="BK11" s="432"/>
      <c r="BL11" s="432"/>
      <c r="BM11" s="432"/>
      <c r="BN11" s="432"/>
      <c r="BO11" s="432"/>
      <c r="BP11" s="432"/>
      <c r="BQ11" s="432"/>
      <c r="BR11" s="432"/>
      <c r="BS11" s="432"/>
      <c r="BT11" s="432"/>
      <c r="BU11" s="432"/>
      <c r="BV11" s="432"/>
      <c r="BW11" s="432"/>
      <c r="BX11" s="432"/>
      <c r="BY11" s="432"/>
      <c r="BZ11" s="432"/>
      <c r="CA11" s="432"/>
      <c r="CB11" s="432"/>
      <c r="CC11" s="432"/>
      <c r="CD11" s="432"/>
      <c r="CE11" s="432"/>
      <c r="CF11" s="432"/>
      <c r="CG11" s="432"/>
      <c r="CH11" s="432"/>
      <c r="CI11" s="432"/>
      <c r="CJ11" s="432"/>
      <c r="CK11" s="432"/>
      <c r="CL11" s="432"/>
      <c r="CM11" s="432"/>
      <c r="CN11" s="432"/>
      <c r="CO11" s="432"/>
      <c r="CP11" s="432"/>
      <c r="CQ11" s="432"/>
      <c r="CR11" s="432"/>
      <c r="CS11" s="432"/>
      <c r="CT11" s="432"/>
      <c r="CU11" s="432"/>
      <c r="CV11" s="432"/>
      <c r="CW11" s="432"/>
      <c r="CX11" s="432"/>
      <c r="CY11" s="432"/>
      <c r="CZ11" s="432"/>
      <c r="DA11" s="432"/>
      <c r="DB11" s="432"/>
      <c r="DC11" s="432"/>
      <c r="DD11" s="432"/>
      <c r="DE11" s="432"/>
      <c r="DF11" s="432"/>
      <c r="DG11" s="432"/>
      <c r="DH11" s="432"/>
      <c r="DI11" s="432"/>
      <c r="DJ11" s="432"/>
      <c r="DK11" s="432"/>
      <c r="DL11" s="432"/>
      <c r="DM11" s="432"/>
      <c r="DN11" s="432"/>
      <c r="DO11" s="432"/>
      <c r="DP11" s="432"/>
      <c r="DQ11" s="432"/>
      <c r="DR11" s="432"/>
      <c r="DS11" s="432"/>
      <c r="DT11" s="432"/>
      <c r="DU11" s="432"/>
      <c r="DV11" s="432"/>
      <c r="DW11" s="432"/>
      <c r="DX11" s="432"/>
      <c r="DY11" s="432"/>
      <c r="DZ11" s="432"/>
      <c r="EA11" s="432"/>
      <c r="EB11" s="432"/>
      <c r="EC11" s="432"/>
      <c r="ED11" s="432"/>
      <c r="EE11" s="432"/>
      <c r="EF11" s="432"/>
      <c r="EG11" s="432"/>
      <c r="EH11" s="432"/>
      <c r="EI11" s="432"/>
      <c r="EJ11" s="432"/>
      <c r="EK11" s="432"/>
      <c r="EL11" s="432"/>
      <c r="EM11" s="432"/>
      <c r="EN11" s="432"/>
      <c r="EO11" s="432"/>
      <c r="EP11" s="432"/>
      <c r="EQ11" s="432"/>
      <c r="ER11" s="432"/>
      <c r="ES11" s="432"/>
      <c r="ET11" s="432"/>
      <c r="EU11" s="432"/>
      <c r="EV11" s="432"/>
      <c r="EW11" s="432"/>
      <c r="EX11" s="432"/>
      <c r="EY11" s="432"/>
      <c r="EZ11" s="432"/>
      <c r="FA11" s="432"/>
      <c r="FB11" s="432"/>
      <c r="FC11" s="432"/>
      <c r="FD11" s="432"/>
      <c r="FE11" s="432"/>
      <c r="FF11" s="432"/>
      <c r="FG11" s="432"/>
      <c r="FH11" s="432"/>
      <c r="FI11" s="432"/>
    </row>
    <row r="12" spans="1:165" s="298" customFormat="1" hidden="1">
      <c r="A12" s="429" t="str">
        <f>Op_Costs!C4</f>
        <v>Legal</v>
      </c>
      <c r="B12" s="297" t="str">
        <f>IF(Deal_Overview!$V$17&gt;0,G12/Deal_Overview!$V$17,"")</f>
        <v/>
      </c>
      <c r="C12" s="430">
        <f>Op_Costs!J4</f>
        <v>0.03</v>
      </c>
      <c r="D12" s="698">
        <f>Op_Costs!D4</f>
        <v>0</v>
      </c>
      <c r="E12" s="698">
        <f>Op_Costs!E4</f>
        <v>0</v>
      </c>
      <c r="F12" s="698">
        <f>Op_Costs!F4</f>
        <v>0</v>
      </c>
      <c r="G12" s="297">
        <f>Op_Costs!G4</f>
        <v>0</v>
      </c>
      <c r="H12" s="431">
        <f t="shared" ref="H12:AT18" si="5">G12*(1+$C12)</f>
        <v>0</v>
      </c>
      <c r="I12" s="431">
        <f t="shared" si="5"/>
        <v>0</v>
      </c>
      <c r="J12" s="431">
        <f t="shared" si="5"/>
        <v>0</v>
      </c>
      <c r="K12" s="431">
        <f t="shared" si="5"/>
        <v>0</v>
      </c>
      <c r="L12" s="431">
        <f t="shared" si="5"/>
        <v>0</v>
      </c>
      <c r="M12" s="431">
        <f t="shared" si="5"/>
        <v>0</v>
      </c>
      <c r="N12" s="431">
        <f t="shared" si="5"/>
        <v>0</v>
      </c>
      <c r="O12" s="431">
        <f t="shared" si="5"/>
        <v>0</v>
      </c>
      <c r="P12" s="431">
        <f t="shared" si="5"/>
        <v>0</v>
      </c>
      <c r="Q12" s="431">
        <f t="shared" si="5"/>
        <v>0</v>
      </c>
      <c r="R12" s="431">
        <f t="shared" si="5"/>
        <v>0</v>
      </c>
      <c r="S12" s="431">
        <f t="shared" si="5"/>
        <v>0</v>
      </c>
      <c r="T12" s="431">
        <f t="shared" si="5"/>
        <v>0</v>
      </c>
      <c r="U12" s="431">
        <f t="shared" si="5"/>
        <v>0</v>
      </c>
      <c r="V12" s="431">
        <f t="shared" si="5"/>
        <v>0</v>
      </c>
      <c r="W12" s="431">
        <f t="shared" si="5"/>
        <v>0</v>
      </c>
      <c r="X12" s="431">
        <f t="shared" si="5"/>
        <v>0</v>
      </c>
      <c r="Y12" s="431">
        <f t="shared" si="5"/>
        <v>0</v>
      </c>
      <c r="Z12" s="431">
        <f t="shared" si="5"/>
        <v>0</v>
      </c>
      <c r="AA12" s="431">
        <f t="shared" si="5"/>
        <v>0</v>
      </c>
      <c r="AB12" s="431">
        <f t="shared" si="5"/>
        <v>0</v>
      </c>
      <c r="AC12" s="431">
        <f t="shared" si="5"/>
        <v>0</v>
      </c>
      <c r="AD12" s="431">
        <f t="shared" si="5"/>
        <v>0</v>
      </c>
      <c r="AE12" s="431">
        <f t="shared" si="5"/>
        <v>0</v>
      </c>
      <c r="AF12" s="431">
        <f t="shared" si="5"/>
        <v>0</v>
      </c>
      <c r="AG12" s="431">
        <f t="shared" si="5"/>
        <v>0</v>
      </c>
      <c r="AH12" s="431">
        <f t="shared" si="5"/>
        <v>0</v>
      </c>
      <c r="AI12" s="431">
        <f t="shared" si="5"/>
        <v>0</v>
      </c>
      <c r="AJ12" s="431">
        <f t="shared" si="5"/>
        <v>0</v>
      </c>
      <c r="AK12" s="431">
        <f t="shared" si="5"/>
        <v>0</v>
      </c>
      <c r="AL12" s="431">
        <f t="shared" si="5"/>
        <v>0</v>
      </c>
      <c r="AM12" s="431">
        <f t="shared" si="5"/>
        <v>0</v>
      </c>
      <c r="AN12" s="431">
        <f t="shared" si="5"/>
        <v>0</v>
      </c>
      <c r="AO12" s="431">
        <f t="shared" si="5"/>
        <v>0</v>
      </c>
      <c r="AP12" s="431">
        <f t="shared" si="5"/>
        <v>0</v>
      </c>
      <c r="AQ12" s="431">
        <f t="shared" si="5"/>
        <v>0</v>
      </c>
      <c r="AR12" s="431">
        <f t="shared" si="5"/>
        <v>0</v>
      </c>
      <c r="AS12" s="431">
        <f t="shared" si="5"/>
        <v>0</v>
      </c>
      <c r="AT12" s="431">
        <f t="shared" si="5"/>
        <v>0</v>
      </c>
      <c r="AU12" s="431"/>
      <c r="AV12" s="431"/>
      <c r="AW12" s="431"/>
      <c r="AX12" s="431"/>
      <c r="AY12" s="431"/>
      <c r="AZ12" s="431"/>
      <c r="BA12" s="431"/>
      <c r="BB12" s="432"/>
      <c r="BC12" s="432"/>
      <c r="BD12" s="432"/>
      <c r="BE12" s="432"/>
      <c r="BF12" s="432"/>
      <c r="BG12" s="432"/>
      <c r="BH12" s="432"/>
      <c r="BI12" s="432"/>
      <c r="BJ12" s="432"/>
      <c r="BK12" s="432"/>
      <c r="BL12" s="432"/>
      <c r="BM12" s="432"/>
      <c r="BN12" s="432"/>
      <c r="BO12" s="432"/>
      <c r="BP12" s="432"/>
      <c r="BQ12" s="432"/>
      <c r="BR12" s="432"/>
      <c r="BS12" s="432"/>
      <c r="BT12" s="432"/>
      <c r="BU12" s="432"/>
      <c r="BV12" s="432"/>
      <c r="BW12" s="432"/>
      <c r="BX12" s="432"/>
      <c r="BY12" s="432"/>
      <c r="BZ12" s="432"/>
      <c r="CA12" s="432"/>
      <c r="CB12" s="432"/>
      <c r="CC12" s="432"/>
      <c r="CD12" s="432"/>
      <c r="CE12" s="432"/>
      <c r="CF12" s="432"/>
      <c r="CG12" s="432"/>
      <c r="CH12" s="432"/>
      <c r="CI12" s="432"/>
      <c r="CJ12" s="432"/>
      <c r="CK12" s="432"/>
      <c r="CL12" s="432"/>
      <c r="CM12" s="432"/>
      <c r="CN12" s="432"/>
      <c r="CO12" s="432"/>
      <c r="CP12" s="432"/>
      <c r="CQ12" s="432"/>
      <c r="CR12" s="432"/>
      <c r="CS12" s="432"/>
      <c r="CT12" s="432"/>
      <c r="CU12" s="432"/>
      <c r="CV12" s="432"/>
      <c r="CW12" s="432"/>
      <c r="CX12" s="432"/>
      <c r="CY12" s="432"/>
      <c r="CZ12" s="432"/>
      <c r="DA12" s="432"/>
      <c r="DB12" s="432"/>
      <c r="DC12" s="432"/>
      <c r="DD12" s="432"/>
      <c r="DE12" s="432"/>
      <c r="DF12" s="432"/>
      <c r="DG12" s="432"/>
      <c r="DH12" s="432"/>
      <c r="DI12" s="432"/>
      <c r="DJ12" s="432"/>
      <c r="DK12" s="432"/>
      <c r="DL12" s="432"/>
      <c r="DM12" s="432"/>
      <c r="DN12" s="432"/>
      <c r="DO12" s="432"/>
      <c r="DP12" s="432"/>
      <c r="DQ12" s="432"/>
      <c r="DR12" s="432"/>
      <c r="DS12" s="432"/>
      <c r="DT12" s="432"/>
      <c r="DU12" s="432"/>
      <c r="DV12" s="432"/>
      <c r="DW12" s="432"/>
      <c r="DX12" s="432"/>
      <c r="DY12" s="432"/>
      <c r="DZ12" s="432"/>
      <c r="EA12" s="432"/>
      <c r="EB12" s="432"/>
      <c r="EC12" s="432"/>
      <c r="ED12" s="432"/>
      <c r="EE12" s="432"/>
      <c r="EF12" s="432"/>
      <c r="EG12" s="432"/>
      <c r="EH12" s="432"/>
      <c r="EI12" s="432"/>
      <c r="EJ12" s="432"/>
      <c r="EK12" s="432"/>
      <c r="EL12" s="432"/>
      <c r="EM12" s="432"/>
      <c r="EN12" s="432"/>
      <c r="EO12" s="432"/>
      <c r="EP12" s="432"/>
      <c r="EQ12" s="432"/>
      <c r="ER12" s="432"/>
      <c r="ES12" s="432"/>
      <c r="ET12" s="432"/>
      <c r="EU12" s="432"/>
      <c r="EV12" s="432"/>
      <c r="EW12" s="432"/>
      <c r="EX12" s="432"/>
      <c r="EY12" s="432"/>
      <c r="EZ12" s="432"/>
      <c r="FA12" s="432"/>
      <c r="FB12" s="432"/>
      <c r="FC12" s="432"/>
      <c r="FD12" s="432"/>
      <c r="FE12" s="432"/>
      <c r="FF12" s="432"/>
      <c r="FG12" s="432"/>
      <c r="FH12" s="432"/>
      <c r="FI12" s="432"/>
    </row>
    <row r="13" spans="1:165" s="298" customFormat="1" hidden="1">
      <c r="A13" s="429" t="str">
        <f>Op_Costs!C5</f>
        <v>Accounting</v>
      </c>
      <c r="B13" s="297" t="str">
        <f>IF(Deal_Overview!$V$17&gt;0,G13/Deal_Overview!$V$17,"")</f>
        <v/>
      </c>
      <c r="C13" s="430">
        <f>Op_Costs!J5</f>
        <v>0.03</v>
      </c>
      <c r="D13" s="698">
        <f>Op_Costs!D5</f>
        <v>0</v>
      </c>
      <c r="E13" s="698">
        <f>Op_Costs!E5</f>
        <v>0</v>
      </c>
      <c r="F13" s="698">
        <f>Op_Costs!F5</f>
        <v>0</v>
      </c>
      <c r="G13" s="297">
        <f>Op_Costs!G5</f>
        <v>0</v>
      </c>
      <c r="H13" s="431">
        <f t="shared" si="5"/>
        <v>0</v>
      </c>
      <c r="I13" s="431">
        <f t="shared" si="5"/>
        <v>0</v>
      </c>
      <c r="J13" s="431">
        <f t="shared" si="5"/>
        <v>0</v>
      </c>
      <c r="K13" s="431">
        <f t="shared" si="5"/>
        <v>0</v>
      </c>
      <c r="L13" s="431">
        <f t="shared" si="5"/>
        <v>0</v>
      </c>
      <c r="M13" s="431">
        <f t="shared" si="5"/>
        <v>0</v>
      </c>
      <c r="N13" s="431">
        <f t="shared" si="5"/>
        <v>0</v>
      </c>
      <c r="O13" s="431">
        <f t="shared" si="5"/>
        <v>0</v>
      </c>
      <c r="P13" s="431">
        <f t="shared" si="5"/>
        <v>0</v>
      </c>
      <c r="Q13" s="431">
        <f t="shared" si="5"/>
        <v>0</v>
      </c>
      <c r="R13" s="431">
        <f t="shared" si="5"/>
        <v>0</v>
      </c>
      <c r="S13" s="431">
        <f t="shared" si="5"/>
        <v>0</v>
      </c>
      <c r="T13" s="431">
        <f t="shared" si="5"/>
        <v>0</v>
      </c>
      <c r="U13" s="431">
        <f t="shared" si="5"/>
        <v>0</v>
      </c>
      <c r="V13" s="431">
        <f t="shared" si="5"/>
        <v>0</v>
      </c>
      <c r="W13" s="431">
        <f t="shared" si="5"/>
        <v>0</v>
      </c>
      <c r="X13" s="431">
        <f t="shared" si="5"/>
        <v>0</v>
      </c>
      <c r="Y13" s="431">
        <f t="shared" si="5"/>
        <v>0</v>
      </c>
      <c r="Z13" s="431">
        <f t="shared" si="5"/>
        <v>0</v>
      </c>
      <c r="AA13" s="431">
        <f t="shared" si="5"/>
        <v>0</v>
      </c>
      <c r="AB13" s="431">
        <f t="shared" si="5"/>
        <v>0</v>
      </c>
      <c r="AC13" s="431">
        <f t="shared" si="5"/>
        <v>0</v>
      </c>
      <c r="AD13" s="431">
        <f t="shared" si="5"/>
        <v>0</v>
      </c>
      <c r="AE13" s="431">
        <f t="shared" si="5"/>
        <v>0</v>
      </c>
      <c r="AF13" s="431">
        <f t="shared" si="5"/>
        <v>0</v>
      </c>
      <c r="AG13" s="431">
        <f t="shared" si="5"/>
        <v>0</v>
      </c>
      <c r="AH13" s="431">
        <f t="shared" si="5"/>
        <v>0</v>
      </c>
      <c r="AI13" s="431">
        <f t="shared" si="5"/>
        <v>0</v>
      </c>
      <c r="AJ13" s="431">
        <f t="shared" si="5"/>
        <v>0</v>
      </c>
      <c r="AK13" s="431">
        <f t="shared" si="5"/>
        <v>0</v>
      </c>
      <c r="AL13" s="431">
        <f t="shared" si="5"/>
        <v>0</v>
      </c>
      <c r="AM13" s="431">
        <f t="shared" si="5"/>
        <v>0</v>
      </c>
      <c r="AN13" s="431">
        <f t="shared" si="5"/>
        <v>0</v>
      </c>
      <c r="AO13" s="431">
        <f t="shared" si="5"/>
        <v>0</v>
      </c>
      <c r="AP13" s="431">
        <f t="shared" si="5"/>
        <v>0</v>
      </c>
      <c r="AQ13" s="431">
        <f t="shared" si="5"/>
        <v>0</v>
      </c>
      <c r="AR13" s="431">
        <f t="shared" si="5"/>
        <v>0</v>
      </c>
      <c r="AS13" s="431">
        <f t="shared" si="5"/>
        <v>0</v>
      </c>
      <c r="AT13" s="431">
        <f t="shared" si="5"/>
        <v>0</v>
      </c>
      <c r="AU13" s="431"/>
      <c r="AV13" s="431"/>
      <c r="AW13" s="431"/>
      <c r="AX13" s="431"/>
      <c r="AY13" s="431"/>
      <c r="AZ13" s="431"/>
      <c r="BA13" s="431"/>
      <c r="BB13" s="432"/>
      <c r="BC13" s="432"/>
      <c r="BD13" s="432"/>
      <c r="BE13" s="432"/>
      <c r="BF13" s="432"/>
      <c r="BG13" s="432"/>
      <c r="BH13" s="432"/>
      <c r="BI13" s="432"/>
      <c r="BJ13" s="432"/>
      <c r="BK13" s="432"/>
      <c r="BL13" s="432"/>
      <c r="BM13" s="432"/>
      <c r="BN13" s="432"/>
      <c r="BO13" s="432"/>
      <c r="BP13" s="432"/>
      <c r="BQ13" s="432"/>
      <c r="BR13" s="432"/>
      <c r="BS13" s="432"/>
      <c r="BT13" s="432"/>
      <c r="BU13" s="432"/>
      <c r="BV13" s="432"/>
      <c r="BW13" s="432"/>
      <c r="BX13" s="432"/>
      <c r="BY13" s="432"/>
      <c r="BZ13" s="432"/>
      <c r="CA13" s="432"/>
      <c r="CB13" s="432"/>
      <c r="CC13" s="432"/>
      <c r="CD13" s="432"/>
      <c r="CE13" s="432"/>
      <c r="CF13" s="432"/>
      <c r="CG13" s="432"/>
      <c r="CH13" s="432"/>
      <c r="CI13" s="432"/>
      <c r="CJ13" s="432"/>
      <c r="CK13" s="432"/>
      <c r="CL13" s="432"/>
      <c r="CM13" s="432"/>
      <c r="CN13" s="432"/>
      <c r="CO13" s="432"/>
      <c r="CP13" s="432"/>
      <c r="CQ13" s="432"/>
      <c r="CR13" s="432"/>
      <c r="CS13" s="432"/>
      <c r="CT13" s="432"/>
      <c r="CU13" s="432"/>
      <c r="CV13" s="432"/>
      <c r="CW13" s="432"/>
      <c r="CX13" s="432"/>
      <c r="CY13" s="432"/>
      <c r="CZ13" s="432"/>
      <c r="DA13" s="432"/>
      <c r="DB13" s="432"/>
      <c r="DC13" s="432"/>
      <c r="DD13" s="432"/>
      <c r="DE13" s="432"/>
      <c r="DF13" s="432"/>
      <c r="DG13" s="432"/>
      <c r="DH13" s="432"/>
      <c r="DI13" s="432"/>
      <c r="DJ13" s="432"/>
      <c r="DK13" s="432"/>
      <c r="DL13" s="432"/>
      <c r="DM13" s="432"/>
      <c r="DN13" s="432"/>
      <c r="DO13" s="432"/>
      <c r="DP13" s="432"/>
      <c r="DQ13" s="432"/>
      <c r="DR13" s="432"/>
      <c r="DS13" s="432"/>
      <c r="DT13" s="432"/>
      <c r="DU13" s="432"/>
      <c r="DV13" s="432"/>
      <c r="DW13" s="432"/>
      <c r="DX13" s="432"/>
      <c r="DY13" s="432"/>
      <c r="DZ13" s="432"/>
      <c r="EA13" s="432"/>
      <c r="EB13" s="432"/>
      <c r="EC13" s="432"/>
      <c r="ED13" s="432"/>
      <c r="EE13" s="432"/>
      <c r="EF13" s="432"/>
      <c r="EG13" s="432"/>
      <c r="EH13" s="432"/>
      <c r="EI13" s="432"/>
      <c r="EJ13" s="432"/>
      <c r="EK13" s="432"/>
      <c r="EL13" s="432"/>
      <c r="EM13" s="432"/>
      <c r="EN13" s="432"/>
      <c r="EO13" s="432"/>
      <c r="EP13" s="432"/>
      <c r="EQ13" s="432"/>
      <c r="ER13" s="432"/>
      <c r="ES13" s="432"/>
      <c r="ET13" s="432"/>
      <c r="EU13" s="432"/>
      <c r="EV13" s="432"/>
      <c r="EW13" s="432"/>
      <c r="EX13" s="432"/>
      <c r="EY13" s="432"/>
      <c r="EZ13" s="432"/>
      <c r="FA13" s="432"/>
      <c r="FB13" s="432"/>
      <c r="FC13" s="432"/>
      <c r="FD13" s="432"/>
      <c r="FE13" s="432"/>
      <c r="FF13" s="432"/>
      <c r="FG13" s="432"/>
      <c r="FH13" s="432"/>
      <c r="FI13" s="432"/>
    </row>
    <row r="14" spans="1:165" s="298" customFormat="1" hidden="1">
      <c r="A14" s="429" t="str">
        <f>Op_Costs!C6</f>
        <v>Office Supplies</v>
      </c>
      <c r="B14" s="297" t="str">
        <f>IF(Deal_Overview!$V$17&gt;0,G14/Deal_Overview!$V$17,"")</f>
        <v/>
      </c>
      <c r="C14" s="430">
        <f>Op_Costs!J6</f>
        <v>0.03</v>
      </c>
      <c r="D14" s="698">
        <f>Op_Costs!D6</f>
        <v>0</v>
      </c>
      <c r="E14" s="698">
        <f>Op_Costs!E6</f>
        <v>0</v>
      </c>
      <c r="F14" s="698">
        <f>Op_Costs!F6</f>
        <v>0</v>
      </c>
      <c r="G14" s="297">
        <f>Op_Costs!G6</f>
        <v>0</v>
      </c>
      <c r="H14" s="431">
        <f t="shared" si="5"/>
        <v>0</v>
      </c>
      <c r="I14" s="431">
        <f t="shared" si="5"/>
        <v>0</v>
      </c>
      <c r="J14" s="431">
        <f t="shared" si="5"/>
        <v>0</v>
      </c>
      <c r="K14" s="431">
        <f t="shared" si="5"/>
        <v>0</v>
      </c>
      <c r="L14" s="431">
        <f t="shared" si="5"/>
        <v>0</v>
      </c>
      <c r="M14" s="431">
        <f t="shared" si="5"/>
        <v>0</v>
      </c>
      <c r="N14" s="431">
        <f t="shared" si="5"/>
        <v>0</v>
      </c>
      <c r="O14" s="431">
        <f t="shared" si="5"/>
        <v>0</v>
      </c>
      <c r="P14" s="431">
        <f t="shared" si="5"/>
        <v>0</v>
      </c>
      <c r="Q14" s="431">
        <f t="shared" si="5"/>
        <v>0</v>
      </c>
      <c r="R14" s="431">
        <f t="shared" si="5"/>
        <v>0</v>
      </c>
      <c r="S14" s="431">
        <f t="shared" si="5"/>
        <v>0</v>
      </c>
      <c r="T14" s="431">
        <f t="shared" si="5"/>
        <v>0</v>
      </c>
      <c r="U14" s="431">
        <f t="shared" si="5"/>
        <v>0</v>
      </c>
      <c r="V14" s="431">
        <f t="shared" si="5"/>
        <v>0</v>
      </c>
      <c r="W14" s="431">
        <f t="shared" si="5"/>
        <v>0</v>
      </c>
      <c r="X14" s="431">
        <f t="shared" si="5"/>
        <v>0</v>
      </c>
      <c r="Y14" s="431">
        <f t="shared" si="5"/>
        <v>0</v>
      </c>
      <c r="Z14" s="431">
        <f t="shared" si="5"/>
        <v>0</v>
      </c>
      <c r="AA14" s="431">
        <f t="shared" si="5"/>
        <v>0</v>
      </c>
      <c r="AB14" s="431">
        <f t="shared" si="5"/>
        <v>0</v>
      </c>
      <c r="AC14" s="431">
        <f t="shared" si="5"/>
        <v>0</v>
      </c>
      <c r="AD14" s="431">
        <f t="shared" si="5"/>
        <v>0</v>
      </c>
      <c r="AE14" s="431">
        <f t="shared" si="5"/>
        <v>0</v>
      </c>
      <c r="AF14" s="431">
        <f t="shared" si="5"/>
        <v>0</v>
      </c>
      <c r="AG14" s="431">
        <f t="shared" si="5"/>
        <v>0</v>
      </c>
      <c r="AH14" s="431">
        <f t="shared" si="5"/>
        <v>0</v>
      </c>
      <c r="AI14" s="431">
        <f t="shared" si="5"/>
        <v>0</v>
      </c>
      <c r="AJ14" s="431">
        <f t="shared" si="5"/>
        <v>0</v>
      </c>
      <c r="AK14" s="431">
        <f t="shared" si="5"/>
        <v>0</v>
      </c>
      <c r="AL14" s="431">
        <f t="shared" si="5"/>
        <v>0</v>
      </c>
      <c r="AM14" s="431">
        <f t="shared" si="5"/>
        <v>0</v>
      </c>
      <c r="AN14" s="431">
        <f t="shared" si="5"/>
        <v>0</v>
      </c>
      <c r="AO14" s="431">
        <f t="shared" si="5"/>
        <v>0</v>
      </c>
      <c r="AP14" s="431">
        <f t="shared" si="5"/>
        <v>0</v>
      </c>
      <c r="AQ14" s="431">
        <f t="shared" si="5"/>
        <v>0</v>
      </c>
      <c r="AR14" s="431">
        <f t="shared" si="5"/>
        <v>0</v>
      </c>
      <c r="AS14" s="431">
        <f t="shared" si="5"/>
        <v>0</v>
      </c>
      <c r="AT14" s="431">
        <f t="shared" si="5"/>
        <v>0</v>
      </c>
      <c r="AU14" s="431"/>
      <c r="AV14" s="431"/>
      <c r="AW14" s="431"/>
      <c r="AX14" s="431"/>
      <c r="AY14" s="431"/>
      <c r="AZ14" s="431"/>
      <c r="BA14" s="431"/>
      <c r="BB14" s="432"/>
      <c r="BC14" s="432"/>
      <c r="BD14" s="432"/>
      <c r="BE14" s="432"/>
      <c r="BF14" s="432"/>
      <c r="BG14" s="432"/>
      <c r="BH14" s="432"/>
      <c r="BI14" s="432"/>
      <c r="BJ14" s="432"/>
      <c r="BK14" s="432"/>
      <c r="BL14" s="432"/>
      <c r="BM14" s="432"/>
      <c r="BN14" s="432"/>
      <c r="BO14" s="432"/>
      <c r="BP14" s="432"/>
      <c r="BQ14" s="432"/>
      <c r="BR14" s="432"/>
      <c r="BS14" s="432"/>
      <c r="BT14" s="432"/>
      <c r="BU14" s="432"/>
      <c r="BV14" s="432"/>
      <c r="BW14" s="432"/>
      <c r="BX14" s="432"/>
      <c r="BY14" s="432"/>
      <c r="BZ14" s="432"/>
      <c r="CA14" s="432"/>
      <c r="CB14" s="432"/>
      <c r="CC14" s="432"/>
      <c r="CD14" s="432"/>
      <c r="CE14" s="432"/>
      <c r="CF14" s="432"/>
      <c r="CG14" s="432"/>
      <c r="CH14" s="432"/>
      <c r="CI14" s="432"/>
      <c r="CJ14" s="432"/>
      <c r="CK14" s="432"/>
      <c r="CL14" s="432"/>
      <c r="CM14" s="432"/>
      <c r="CN14" s="432"/>
      <c r="CO14" s="432"/>
      <c r="CP14" s="432"/>
      <c r="CQ14" s="432"/>
      <c r="CR14" s="432"/>
      <c r="CS14" s="432"/>
      <c r="CT14" s="432"/>
      <c r="CU14" s="432"/>
      <c r="CV14" s="432"/>
      <c r="CW14" s="432"/>
      <c r="CX14" s="432"/>
      <c r="CY14" s="432"/>
      <c r="CZ14" s="432"/>
      <c r="DA14" s="432"/>
      <c r="DB14" s="432"/>
      <c r="DC14" s="432"/>
      <c r="DD14" s="432"/>
      <c r="DE14" s="432"/>
      <c r="DF14" s="432"/>
      <c r="DG14" s="432"/>
      <c r="DH14" s="432"/>
      <c r="DI14" s="432"/>
      <c r="DJ14" s="432"/>
      <c r="DK14" s="432"/>
      <c r="DL14" s="432"/>
      <c r="DM14" s="432"/>
      <c r="DN14" s="432"/>
      <c r="DO14" s="432"/>
      <c r="DP14" s="432"/>
      <c r="DQ14" s="432"/>
      <c r="DR14" s="432"/>
      <c r="DS14" s="432"/>
      <c r="DT14" s="432"/>
      <c r="DU14" s="432"/>
      <c r="DV14" s="432"/>
      <c r="DW14" s="432"/>
      <c r="DX14" s="432"/>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32"/>
      <c r="EY14" s="432"/>
      <c r="EZ14" s="432"/>
      <c r="FA14" s="432"/>
      <c r="FB14" s="432"/>
      <c r="FC14" s="432"/>
      <c r="FD14" s="432"/>
      <c r="FE14" s="432"/>
      <c r="FF14" s="432"/>
      <c r="FG14" s="432"/>
      <c r="FH14" s="432"/>
      <c r="FI14" s="432"/>
    </row>
    <row r="15" spans="1:165" s="298" customFormat="1" hidden="1">
      <c r="A15" s="429" t="str">
        <f>Op_Costs!C7</f>
        <v>Credit/ Background/ Drug Tests</v>
      </c>
      <c r="B15" s="297" t="str">
        <f>IF(Deal_Overview!$V$17&gt;0,G15/Deal_Overview!$V$17,"")</f>
        <v/>
      </c>
      <c r="C15" s="430">
        <f>Op_Costs!J7</f>
        <v>0.03</v>
      </c>
      <c r="D15" s="698">
        <f>Op_Costs!D7</f>
        <v>0</v>
      </c>
      <c r="E15" s="698">
        <f>Op_Costs!E7</f>
        <v>0</v>
      </c>
      <c r="F15" s="698">
        <f>Op_Costs!F7</f>
        <v>0</v>
      </c>
      <c r="G15" s="297">
        <f>Op_Costs!G7</f>
        <v>0</v>
      </c>
      <c r="H15" s="431">
        <f t="shared" si="5"/>
        <v>0</v>
      </c>
      <c r="I15" s="431">
        <f t="shared" si="5"/>
        <v>0</v>
      </c>
      <c r="J15" s="431">
        <f t="shared" si="5"/>
        <v>0</v>
      </c>
      <c r="K15" s="431">
        <f t="shared" si="5"/>
        <v>0</v>
      </c>
      <c r="L15" s="431">
        <f t="shared" si="5"/>
        <v>0</v>
      </c>
      <c r="M15" s="431">
        <f t="shared" si="5"/>
        <v>0</v>
      </c>
      <c r="N15" s="431">
        <f t="shared" si="5"/>
        <v>0</v>
      </c>
      <c r="O15" s="431">
        <f t="shared" si="5"/>
        <v>0</v>
      </c>
      <c r="P15" s="431">
        <f t="shared" si="5"/>
        <v>0</v>
      </c>
      <c r="Q15" s="431">
        <f t="shared" si="5"/>
        <v>0</v>
      </c>
      <c r="R15" s="431">
        <f t="shared" si="5"/>
        <v>0</v>
      </c>
      <c r="S15" s="431">
        <f t="shared" si="5"/>
        <v>0</v>
      </c>
      <c r="T15" s="431">
        <f t="shared" si="5"/>
        <v>0</v>
      </c>
      <c r="U15" s="431">
        <f t="shared" si="5"/>
        <v>0</v>
      </c>
      <c r="V15" s="431">
        <f t="shared" si="5"/>
        <v>0</v>
      </c>
      <c r="W15" s="431">
        <f t="shared" si="5"/>
        <v>0</v>
      </c>
      <c r="X15" s="431">
        <f t="shared" si="5"/>
        <v>0</v>
      </c>
      <c r="Y15" s="431">
        <f t="shared" si="5"/>
        <v>0</v>
      </c>
      <c r="Z15" s="431">
        <f t="shared" si="5"/>
        <v>0</v>
      </c>
      <c r="AA15" s="431">
        <f t="shared" si="5"/>
        <v>0</v>
      </c>
      <c r="AB15" s="431">
        <f t="shared" si="5"/>
        <v>0</v>
      </c>
      <c r="AC15" s="431">
        <f t="shared" si="5"/>
        <v>0</v>
      </c>
      <c r="AD15" s="431">
        <f t="shared" si="5"/>
        <v>0</v>
      </c>
      <c r="AE15" s="431">
        <f t="shared" si="5"/>
        <v>0</v>
      </c>
      <c r="AF15" s="431">
        <f t="shared" si="5"/>
        <v>0</v>
      </c>
      <c r="AG15" s="431">
        <f t="shared" si="5"/>
        <v>0</v>
      </c>
      <c r="AH15" s="431">
        <f t="shared" si="5"/>
        <v>0</v>
      </c>
      <c r="AI15" s="431">
        <f t="shared" si="5"/>
        <v>0</v>
      </c>
      <c r="AJ15" s="431">
        <f t="shared" si="5"/>
        <v>0</v>
      </c>
      <c r="AK15" s="431">
        <f t="shared" si="5"/>
        <v>0</v>
      </c>
      <c r="AL15" s="431">
        <f t="shared" si="5"/>
        <v>0</v>
      </c>
      <c r="AM15" s="431">
        <f t="shared" si="5"/>
        <v>0</v>
      </c>
      <c r="AN15" s="431">
        <f t="shared" si="5"/>
        <v>0</v>
      </c>
      <c r="AO15" s="431">
        <f t="shared" si="5"/>
        <v>0</v>
      </c>
      <c r="AP15" s="431">
        <f t="shared" si="5"/>
        <v>0</v>
      </c>
      <c r="AQ15" s="431">
        <f t="shared" si="5"/>
        <v>0</v>
      </c>
      <c r="AR15" s="431">
        <f t="shared" si="5"/>
        <v>0</v>
      </c>
      <c r="AS15" s="431">
        <f t="shared" si="5"/>
        <v>0</v>
      </c>
      <c r="AT15" s="431">
        <f t="shared" si="5"/>
        <v>0</v>
      </c>
      <c r="AU15" s="431"/>
      <c r="AV15" s="431"/>
      <c r="AW15" s="431"/>
      <c r="AX15" s="431"/>
      <c r="AY15" s="431"/>
      <c r="AZ15" s="431"/>
      <c r="BA15" s="431"/>
      <c r="BB15" s="432"/>
      <c r="BC15" s="432"/>
      <c r="BD15" s="432"/>
      <c r="BE15" s="432"/>
      <c r="BF15" s="432"/>
      <c r="BG15" s="432"/>
      <c r="BH15" s="432"/>
      <c r="BI15" s="432"/>
      <c r="BJ15" s="432"/>
      <c r="BK15" s="432"/>
      <c r="BL15" s="432"/>
      <c r="BM15" s="432"/>
      <c r="BN15" s="432"/>
      <c r="BO15" s="432"/>
      <c r="BP15" s="432"/>
      <c r="BQ15" s="432"/>
      <c r="BR15" s="432"/>
      <c r="BS15" s="432"/>
      <c r="BT15" s="432"/>
      <c r="BU15" s="432"/>
      <c r="BV15" s="432"/>
      <c r="BW15" s="432"/>
      <c r="BX15" s="432"/>
      <c r="BY15" s="432"/>
      <c r="BZ15" s="432"/>
      <c r="CA15" s="432"/>
      <c r="CB15" s="432"/>
      <c r="CC15" s="432"/>
      <c r="CD15" s="432"/>
      <c r="CE15" s="432"/>
      <c r="CF15" s="432"/>
      <c r="CG15" s="432"/>
      <c r="CH15" s="432"/>
      <c r="CI15" s="432"/>
      <c r="CJ15" s="432"/>
      <c r="CK15" s="432"/>
      <c r="CL15" s="432"/>
      <c r="CM15" s="432"/>
      <c r="CN15" s="432"/>
      <c r="CO15" s="432"/>
      <c r="CP15" s="432"/>
      <c r="CQ15" s="432"/>
      <c r="CR15" s="432"/>
      <c r="CS15" s="432"/>
      <c r="CT15" s="432"/>
      <c r="CU15" s="432"/>
      <c r="CV15" s="432"/>
      <c r="CW15" s="432"/>
      <c r="CX15" s="432"/>
      <c r="CY15" s="432"/>
      <c r="CZ15" s="432"/>
      <c r="DA15" s="432"/>
      <c r="DB15" s="432"/>
      <c r="DC15" s="432"/>
      <c r="DD15" s="432"/>
      <c r="DE15" s="432"/>
      <c r="DF15" s="432"/>
      <c r="DG15" s="432"/>
      <c r="DH15" s="432"/>
      <c r="DI15" s="432"/>
      <c r="DJ15" s="432"/>
      <c r="DK15" s="432"/>
      <c r="DL15" s="432"/>
      <c r="DM15" s="432"/>
      <c r="DN15" s="432"/>
      <c r="DO15" s="432"/>
      <c r="DP15" s="432"/>
      <c r="DQ15" s="432"/>
      <c r="DR15" s="432"/>
      <c r="DS15" s="432"/>
      <c r="DT15" s="432"/>
      <c r="DU15" s="432"/>
      <c r="DV15" s="432"/>
      <c r="DW15" s="432"/>
      <c r="DX15" s="432"/>
      <c r="DY15" s="432"/>
      <c r="DZ15" s="432"/>
      <c r="EA15" s="432"/>
      <c r="EB15" s="432"/>
      <c r="EC15" s="432"/>
      <c r="ED15" s="432"/>
      <c r="EE15" s="432"/>
      <c r="EF15" s="432"/>
      <c r="EG15" s="432"/>
      <c r="EH15" s="432"/>
      <c r="EI15" s="432"/>
      <c r="EJ15" s="432"/>
      <c r="EK15" s="432"/>
      <c r="EL15" s="432"/>
      <c r="EM15" s="432"/>
      <c r="EN15" s="432"/>
      <c r="EO15" s="432"/>
      <c r="EP15" s="432"/>
      <c r="EQ15" s="432"/>
      <c r="ER15" s="432"/>
      <c r="ES15" s="432"/>
      <c r="ET15" s="432"/>
      <c r="EU15" s="432"/>
      <c r="EV15" s="432"/>
      <c r="EW15" s="432"/>
      <c r="EX15" s="432"/>
      <c r="EY15" s="432"/>
      <c r="EZ15" s="432"/>
      <c r="FA15" s="432"/>
      <c r="FB15" s="432"/>
      <c r="FC15" s="432"/>
      <c r="FD15" s="432"/>
      <c r="FE15" s="432"/>
      <c r="FF15" s="432"/>
      <c r="FG15" s="432"/>
      <c r="FH15" s="432"/>
      <c r="FI15" s="432"/>
    </row>
    <row r="16" spans="1:165" s="298" customFormat="1" hidden="1">
      <c r="A16" s="429" t="str">
        <f>Op_Costs!C8</f>
        <v>Telephone Service</v>
      </c>
      <c r="B16" s="297" t="str">
        <f>IF(Deal_Overview!$V$17&gt;0,G16/Deal_Overview!$V$17,"")</f>
        <v/>
      </c>
      <c r="C16" s="430">
        <f>Op_Costs!J8</f>
        <v>0.03</v>
      </c>
      <c r="D16" s="698">
        <f>Op_Costs!D8</f>
        <v>0</v>
      </c>
      <c r="E16" s="698">
        <f>Op_Costs!E8</f>
        <v>0</v>
      </c>
      <c r="F16" s="698">
        <f>Op_Costs!F8</f>
        <v>0</v>
      </c>
      <c r="G16" s="297">
        <f>Op_Costs!G8</f>
        <v>0</v>
      </c>
      <c r="H16" s="431">
        <f t="shared" si="5"/>
        <v>0</v>
      </c>
      <c r="I16" s="431">
        <f t="shared" si="5"/>
        <v>0</v>
      </c>
      <c r="J16" s="431">
        <f t="shared" si="5"/>
        <v>0</v>
      </c>
      <c r="K16" s="431">
        <f t="shared" si="5"/>
        <v>0</v>
      </c>
      <c r="L16" s="431">
        <f t="shared" si="5"/>
        <v>0</v>
      </c>
      <c r="M16" s="431">
        <f t="shared" si="5"/>
        <v>0</v>
      </c>
      <c r="N16" s="431">
        <f t="shared" si="5"/>
        <v>0</v>
      </c>
      <c r="O16" s="431">
        <f t="shared" si="5"/>
        <v>0</v>
      </c>
      <c r="P16" s="431">
        <f t="shared" si="5"/>
        <v>0</v>
      </c>
      <c r="Q16" s="431">
        <f t="shared" si="5"/>
        <v>0</v>
      </c>
      <c r="R16" s="431">
        <f t="shared" si="5"/>
        <v>0</v>
      </c>
      <c r="S16" s="431">
        <f t="shared" si="5"/>
        <v>0</v>
      </c>
      <c r="T16" s="431">
        <f t="shared" si="5"/>
        <v>0</v>
      </c>
      <c r="U16" s="431">
        <f t="shared" si="5"/>
        <v>0</v>
      </c>
      <c r="V16" s="431">
        <f t="shared" si="5"/>
        <v>0</v>
      </c>
      <c r="W16" s="431">
        <f t="shared" si="5"/>
        <v>0</v>
      </c>
      <c r="X16" s="431">
        <f t="shared" si="5"/>
        <v>0</v>
      </c>
      <c r="Y16" s="431">
        <f t="shared" si="5"/>
        <v>0</v>
      </c>
      <c r="Z16" s="431">
        <f t="shared" si="5"/>
        <v>0</v>
      </c>
      <c r="AA16" s="431">
        <f t="shared" si="5"/>
        <v>0</v>
      </c>
      <c r="AB16" s="431">
        <f t="shared" si="5"/>
        <v>0</v>
      </c>
      <c r="AC16" s="431">
        <f t="shared" si="5"/>
        <v>0</v>
      </c>
      <c r="AD16" s="431">
        <f t="shared" si="5"/>
        <v>0</v>
      </c>
      <c r="AE16" s="431">
        <f t="shared" si="5"/>
        <v>0</v>
      </c>
      <c r="AF16" s="431">
        <f t="shared" si="5"/>
        <v>0</v>
      </c>
      <c r="AG16" s="431">
        <f t="shared" si="5"/>
        <v>0</v>
      </c>
      <c r="AH16" s="431">
        <f t="shared" si="5"/>
        <v>0</v>
      </c>
      <c r="AI16" s="431">
        <f t="shared" si="5"/>
        <v>0</v>
      </c>
      <c r="AJ16" s="431">
        <f t="shared" si="5"/>
        <v>0</v>
      </c>
      <c r="AK16" s="431">
        <f t="shared" si="5"/>
        <v>0</v>
      </c>
      <c r="AL16" s="431">
        <f t="shared" si="5"/>
        <v>0</v>
      </c>
      <c r="AM16" s="431">
        <f t="shared" si="5"/>
        <v>0</v>
      </c>
      <c r="AN16" s="431">
        <f t="shared" si="5"/>
        <v>0</v>
      </c>
      <c r="AO16" s="431">
        <f t="shared" si="5"/>
        <v>0</v>
      </c>
      <c r="AP16" s="431">
        <f t="shared" si="5"/>
        <v>0</v>
      </c>
      <c r="AQ16" s="431">
        <f t="shared" si="5"/>
        <v>0</v>
      </c>
      <c r="AR16" s="431">
        <f t="shared" si="5"/>
        <v>0</v>
      </c>
      <c r="AS16" s="431">
        <f t="shared" si="5"/>
        <v>0</v>
      </c>
      <c r="AT16" s="431">
        <f t="shared" si="5"/>
        <v>0</v>
      </c>
      <c r="AU16" s="431"/>
      <c r="AV16" s="431"/>
      <c r="AW16" s="431"/>
      <c r="AX16" s="431"/>
      <c r="AY16" s="431"/>
      <c r="AZ16" s="431"/>
      <c r="BA16" s="431"/>
      <c r="BB16" s="432"/>
      <c r="BC16" s="432"/>
      <c r="BD16" s="432"/>
      <c r="BE16" s="432"/>
      <c r="BF16" s="432"/>
      <c r="BG16" s="432"/>
      <c r="BH16" s="432"/>
      <c r="BI16" s="432"/>
      <c r="BJ16" s="432"/>
      <c r="BK16" s="432"/>
      <c r="BL16" s="432"/>
      <c r="BM16" s="432"/>
      <c r="BN16" s="432"/>
      <c r="BO16" s="432"/>
      <c r="BP16" s="432"/>
      <c r="BQ16" s="432"/>
      <c r="BR16" s="432"/>
      <c r="BS16" s="432"/>
      <c r="BT16" s="432"/>
      <c r="BU16" s="432"/>
      <c r="BV16" s="432"/>
      <c r="BW16" s="432"/>
      <c r="BX16" s="432"/>
      <c r="BY16" s="432"/>
      <c r="BZ16" s="432"/>
      <c r="CA16" s="432"/>
      <c r="CB16" s="432"/>
      <c r="CC16" s="432"/>
      <c r="CD16" s="432"/>
      <c r="CE16" s="432"/>
      <c r="CF16" s="432"/>
      <c r="CG16" s="432"/>
      <c r="CH16" s="432"/>
      <c r="CI16" s="432"/>
      <c r="CJ16" s="432"/>
      <c r="CK16" s="432"/>
      <c r="CL16" s="432"/>
      <c r="CM16" s="432"/>
      <c r="CN16" s="432"/>
      <c r="CO16" s="432"/>
      <c r="CP16" s="432"/>
      <c r="CQ16" s="432"/>
      <c r="CR16" s="432"/>
      <c r="CS16" s="432"/>
      <c r="CT16" s="432"/>
      <c r="CU16" s="432"/>
      <c r="CV16" s="432"/>
      <c r="CW16" s="432"/>
      <c r="CX16" s="432"/>
      <c r="CY16" s="432"/>
      <c r="CZ16" s="432"/>
      <c r="DA16" s="432"/>
      <c r="DB16" s="432"/>
      <c r="DC16" s="432"/>
      <c r="DD16" s="432"/>
      <c r="DE16" s="432"/>
      <c r="DF16" s="432"/>
      <c r="DG16" s="432"/>
      <c r="DH16" s="432"/>
      <c r="DI16" s="432"/>
      <c r="DJ16" s="432"/>
      <c r="DK16" s="432"/>
      <c r="DL16" s="432"/>
      <c r="DM16" s="432"/>
      <c r="DN16" s="432"/>
      <c r="DO16" s="432"/>
      <c r="DP16" s="432"/>
      <c r="DQ16" s="432"/>
      <c r="DR16" s="432"/>
      <c r="DS16" s="432"/>
      <c r="DT16" s="432"/>
      <c r="DU16" s="432"/>
      <c r="DV16" s="432"/>
      <c r="DW16" s="432"/>
      <c r="DX16" s="432"/>
      <c r="DY16" s="432"/>
      <c r="DZ16" s="432"/>
      <c r="EA16" s="432"/>
      <c r="EB16" s="432"/>
      <c r="EC16" s="432"/>
      <c r="ED16" s="432"/>
      <c r="EE16" s="432"/>
      <c r="EF16" s="432"/>
      <c r="EG16" s="432"/>
      <c r="EH16" s="432"/>
      <c r="EI16" s="432"/>
      <c r="EJ16" s="432"/>
      <c r="EK16" s="432"/>
      <c r="EL16" s="432"/>
      <c r="EM16" s="432"/>
      <c r="EN16" s="432"/>
      <c r="EO16" s="432"/>
      <c r="EP16" s="432"/>
      <c r="EQ16" s="432"/>
      <c r="ER16" s="432"/>
      <c r="ES16" s="432"/>
      <c r="ET16" s="432"/>
      <c r="EU16" s="432"/>
      <c r="EV16" s="432"/>
      <c r="EW16" s="432"/>
      <c r="EX16" s="432"/>
      <c r="EY16" s="432"/>
      <c r="EZ16" s="432"/>
      <c r="FA16" s="432"/>
      <c r="FB16" s="432"/>
      <c r="FC16" s="432"/>
      <c r="FD16" s="432"/>
      <c r="FE16" s="432"/>
      <c r="FF16" s="432"/>
      <c r="FG16" s="432"/>
      <c r="FH16" s="432"/>
      <c r="FI16" s="432"/>
    </row>
    <row r="17" spans="1:165" s="298" customFormat="1" hidden="1">
      <c r="A17" s="429" t="str">
        <f>Op_Costs!C9</f>
        <v>Marketing</v>
      </c>
      <c r="B17" s="297" t="str">
        <f>IF(Deal_Overview!$V$17&gt;0,G17/Deal_Overview!$V$17,"")</f>
        <v/>
      </c>
      <c r="C17" s="430">
        <f>Op_Costs!J9</f>
        <v>0.03</v>
      </c>
      <c r="D17" s="698">
        <f>Op_Costs!D9</f>
        <v>0</v>
      </c>
      <c r="E17" s="698">
        <f>Op_Costs!E9</f>
        <v>0</v>
      </c>
      <c r="F17" s="698">
        <f>Op_Costs!F9</f>
        <v>0</v>
      </c>
      <c r="G17" s="297">
        <f>Op_Costs!G9</f>
        <v>0</v>
      </c>
      <c r="H17" s="431">
        <f t="shared" si="5"/>
        <v>0</v>
      </c>
      <c r="I17" s="431">
        <f t="shared" si="5"/>
        <v>0</v>
      </c>
      <c r="J17" s="431">
        <f t="shared" si="5"/>
        <v>0</v>
      </c>
      <c r="K17" s="431">
        <f t="shared" si="5"/>
        <v>0</v>
      </c>
      <c r="L17" s="431">
        <f t="shared" si="5"/>
        <v>0</v>
      </c>
      <c r="M17" s="431">
        <f t="shared" si="5"/>
        <v>0</v>
      </c>
      <c r="N17" s="431">
        <f t="shared" si="5"/>
        <v>0</v>
      </c>
      <c r="O17" s="431">
        <f t="shared" si="5"/>
        <v>0</v>
      </c>
      <c r="P17" s="431">
        <f t="shared" si="5"/>
        <v>0</v>
      </c>
      <c r="Q17" s="431">
        <f t="shared" si="5"/>
        <v>0</v>
      </c>
      <c r="R17" s="431">
        <f t="shared" si="5"/>
        <v>0</v>
      </c>
      <c r="S17" s="431">
        <f t="shared" si="5"/>
        <v>0</v>
      </c>
      <c r="T17" s="431">
        <f t="shared" si="5"/>
        <v>0</v>
      </c>
      <c r="U17" s="431">
        <f t="shared" si="5"/>
        <v>0</v>
      </c>
      <c r="V17" s="431">
        <f t="shared" si="5"/>
        <v>0</v>
      </c>
      <c r="W17" s="431">
        <f t="shared" si="5"/>
        <v>0</v>
      </c>
      <c r="X17" s="431">
        <f t="shared" si="5"/>
        <v>0</v>
      </c>
      <c r="Y17" s="431">
        <f t="shared" si="5"/>
        <v>0</v>
      </c>
      <c r="Z17" s="431">
        <f t="shared" si="5"/>
        <v>0</v>
      </c>
      <c r="AA17" s="431">
        <f t="shared" si="5"/>
        <v>0</v>
      </c>
      <c r="AB17" s="431">
        <f t="shared" si="5"/>
        <v>0</v>
      </c>
      <c r="AC17" s="431">
        <f t="shared" si="5"/>
        <v>0</v>
      </c>
      <c r="AD17" s="431">
        <f t="shared" si="5"/>
        <v>0</v>
      </c>
      <c r="AE17" s="431">
        <f t="shared" si="5"/>
        <v>0</v>
      </c>
      <c r="AF17" s="431">
        <f t="shared" si="5"/>
        <v>0</v>
      </c>
      <c r="AG17" s="431">
        <f t="shared" si="5"/>
        <v>0</v>
      </c>
      <c r="AH17" s="431">
        <f t="shared" si="5"/>
        <v>0</v>
      </c>
      <c r="AI17" s="431">
        <f t="shared" si="5"/>
        <v>0</v>
      </c>
      <c r="AJ17" s="431">
        <f t="shared" si="5"/>
        <v>0</v>
      </c>
      <c r="AK17" s="431">
        <f t="shared" si="5"/>
        <v>0</v>
      </c>
      <c r="AL17" s="431">
        <f t="shared" si="5"/>
        <v>0</v>
      </c>
      <c r="AM17" s="431">
        <f t="shared" si="5"/>
        <v>0</v>
      </c>
      <c r="AN17" s="431">
        <f t="shared" si="5"/>
        <v>0</v>
      </c>
      <c r="AO17" s="431">
        <f t="shared" si="5"/>
        <v>0</v>
      </c>
      <c r="AP17" s="431">
        <f t="shared" si="5"/>
        <v>0</v>
      </c>
      <c r="AQ17" s="431">
        <f t="shared" si="5"/>
        <v>0</v>
      </c>
      <c r="AR17" s="431">
        <f t="shared" si="5"/>
        <v>0</v>
      </c>
      <c r="AS17" s="431">
        <f t="shared" si="5"/>
        <v>0</v>
      </c>
      <c r="AT17" s="431">
        <f t="shared" si="5"/>
        <v>0</v>
      </c>
      <c r="AU17" s="431"/>
      <c r="AV17" s="431"/>
      <c r="AW17" s="431"/>
      <c r="AX17" s="431"/>
      <c r="AY17" s="431"/>
      <c r="AZ17" s="431"/>
      <c r="BA17" s="431"/>
      <c r="BB17" s="432"/>
      <c r="BC17" s="432"/>
      <c r="BD17" s="432"/>
      <c r="BE17" s="432"/>
      <c r="BF17" s="432"/>
      <c r="BG17" s="432"/>
      <c r="BH17" s="432"/>
      <c r="BI17" s="432"/>
      <c r="BJ17" s="432"/>
      <c r="BK17" s="432"/>
      <c r="BL17" s="432"/>
      <c r="BM17" s="432"/>
      <c r="BN17" s="432"/>
      <c r="BO17" s="432"/>
      <c r="BP17" s="432"/>
      <c r="BQ17" s="432"/>
      <c r="BR17" s="432"/>
      <c r="BS17" s="432"/>
      <c r="BT17" s="432"/>
      <c r="BU17" s="432"/>
      <c r="BV17" s="432"/>
      <c r="BW17" s="432"/>
      <c r="BX17" s="432"/>
      <c r="BY17" s="432"/>
      <c r="BZ17" s="432"/>
      <c r="CA17" s="432"/>
      <c r="CB17" s="432"/>
      <c r="CC17" s="432"/>
      <c r="CD17" s="432"/>
      <c r="CE17" s="432"/>
      <c r="CF17" s="432"/>
      <c r="CG17" s="432"/>
      <c r="CH17" s="432"/>
      <c r="CI17" s="432"/>
      <c r="CJ17" s="432"/>
      <c r="CK17" s="432"/>
      <c r="CL17" s="432"/>
      <c r="CM17" s="432"/>
      <c r="CN17" s="432"/>
      <c r="CO17" s="432"/>
      <c r="CP17" s="432"/>
      <c r="CQ17" s="432"/>
      <c r="CR17" s="432"/>
      <c r="CS17" s="432"/>
      <c r="CT17" s="432"/>
      <c r="CU17" s="432"/>
      <c r="CV17" s="432"/>
      <c r="CW17" s="432"/>
      <c r="CX17" s="432"/>
      <c r="CY17" s="432"/>
      <c r="CZ17" s="432"/>
      <c r="DA17" s="432"/>
      <c r="DB17" s="432"/>
      <c r="DC17" s="432"/>
      <c r="DD17" s="432"/>
      <c r="DE17" s="432"/>
      <c r="DF17" s="432"/>
      <c r="DG17" s="432"/>
      <c r="DH17" s="432"/>
      <c r="DI17" s="432"/>
      <c r="DJ17" s="432"/>
      <c r="DK17" s="432"/>
      <c r="DL17" s="432"/>
      <c r="DM17" s="432"/>
      <c r="DN17" s="432"/>
      <c r="DO17" s="432"/>
      <c r="DP17" s="432"/>
      <c r="DQ17" s="432"/>
      <c r="DR17" s="432"/>
      <c r="DS17" s="432"/>
      <c r="DT17" s="432"/>
      <c r="DU17" s="432"/>
      <c r="DV17" s="432"/>
      <c r="DW17" s="432"/>
      <c r="DX17" s="432"/>
      <c r="DY17" s="432"/>
      <c r="DZ17" s="432"/>
      <c r="EA17" s="432"/>
      <c r="EB17" s="432"/>
      <c r="EC17" s="432"/>
      <c r="ED17" s="432"/>
      <c r="EE17" s="432"/>
      <c r="EF17" s="432"/>
      <c r="EG17" s="432"/>
      <c r="EH17" s="432"/>
      <c r="EI17" s="432"/>
      <c r="EJ17" s="432"/>
      <c r="EK17" s="432"/>
      <c r="EL17" s="432"/>
      <c r="EM17" s="432"/>
      <c r="EN17" s="432"/>
      <c r="EO17" s="432"/>
      <c r="EP17" s="432"/>
      <c r="EQ17" s="432"/>
      <c r="ER17" s="432"/>
      <c r="ES17" s="432"/>
      <c r="ET17" s="432"/>
      <c r="EU17" s="432"/>
      <c r="EV17" s="432"/>
      <c r="EW17" s="432"/>
      <c r="EX17" s="432"/>
      <c r="EY17" s="432"/>
      <c r="EZ17" s="432"/>
      <c r="FA17" s="432"/>
      <c r="FB17" s="432"/>
      <c r="FC17" s="432"/>
      <c r="FD17" s="432"/>
      <c r="FE17" s="432"/>
      <c r="FF17" s="432"/>
      <c r="FG17" s="432"/>
      <c r="FH17" s="432"/>
      <c r="FI17" s="432"/>
    </row>
    <row r="18" spans="1:165" s="298" customFormat="1" hidden="1">
      <c r="A18" s="429" t="str">
        <f>Op_Costs!C10</f>
        <v>Property Manager</v>
      </c>
      <c r="B18" s="297" t="str">
        <f>IF(Deal_Overview!$V$17&gt;0,G18/Deal_Overview!$V$17,"")</f>
        <v/>
      </c>
      <c r="C18" s="430">
        <f>Op_Costs!J10</f>
        <v>0.03</v>
      </c>
      <c r="D18" s="698">
        <f>Op_Costs!D10</f>
        <v>0</v>
      </c>
      <c r="E18" s="698">
        <f>Op_Costs!E10</f>
        <v>0</v>
      </c>
      <c r="F18" s="698">
        <f>Op_Costs!F10</f>
        <v>0</v>
      </c>
      <c r="G18" s="297">
        <f>Op_Costs!G10</f>
        <v>0</v>
      </c>
      <c r="H18" s="431">
        <f t="shared" ref="H18:W19" si="6">G18*(1+$C18)</f>
        <v>0</v>
      </c>
      <c r="I18" s="431">
        <f t="shared" si="5"/>
        <v>0</v>
      </c>
      <c r="J18" s="431">
        <f t="shared" si="5"/>
        <v>0</v>
      </c>
      <c r="K18" s="431">
        <f t="shared" si="5"/>
        <v>0</v>
      </c>
      <c r="L18" s="431">
        <f t="shared" si="5"/>
        <v>0</v>
      </c>
      <c r="M18" s="431">
        <f t="shared" si="5"/>
        <v>0</v>
      </c>
      <c r="N18" s="431">
        <f t="shared" si="5"/>
        <v>0</v>
      </c>
      <c r="O18" s="431">
        <f t="shared" si="5"/>
        <v>0</v>
      </c>
      <c r="P18" s="431">
        <f t="shared" si="5"/>
        <v>0</v>
      </c>
      <c r="Q18" s="431">
        <f t="shared" si="5"/>
        <v>0</v>
      </c>
      <c r="R18" s="431">
        <f t="shared" si="5"/>
        <v>0</v>
      </c>
      <c r="S18" s="431">
        <f t="shared" si="5"/>
        <v>0</v>
      </c>
      <c r="T18" s="431">
        <f t="shared" si="5"/>
        <v>0</v>
      </c>
      <c r="U18" s="431">
        <f t="shared" si="5"/>
        <v>0</v>
      </c>
      <c r="V18" s="431">
        <f t="shared" si="5"/>
        <v>0</v>
      </c>
      <c r="W18" s="431">
        <f t="shared" si="5"/>
        <v>0</v>
      </c>
      <c r="X18" s="431">
        <f t="shared" si="5"/>
        <v>0</v>
      </c>
      <c r="Y18" s="431">
        <f t="shared" si="5"/>
        <v>0</v>
      </c>
      <c r="Z18" s="431">
        <f t="shared" si="5"/>
        <v>0</v>
      </c>
      <c r="AA18" s="431">
        <f t="shared" si="5"/>
        <v>0</v>
      </c>
      <c r="AB18" s="431">
        <f t="shared" si="5"/>
        <v>0</v>
      </c>
      <c r="AC18" s="431">
        <f t="shared" ref="AC18:AT18" si="7">AB18*(1+$C18)</f>
        <v>0</v>
      </c>
      <c r="AD18" s="431">
        <f t="shared" si="7"/>
        <v>0</v>
      </c>
      <c r="AE18" s="431">
        <f t="shared" si="7"/>
        <v>0</v>
      </c>
      <c r="AF18" s="431">
        <f t="shared" si="7"/>
        <v>0</v>
      </c>
      <c r="AG18" s="431">
        <f t="shared" si="7"/>
        <v>0</v>
      </c>
      <c r="AH18" s="431">
        <f t="shared" si="7"/>
        <v>0</v>
      </c>
      <c r="AI18" s="431">
        <f t="shared" si="7"/>
        <v>0</v>
      </c>
      <c r="AJ18" s="431">
        <f t="shared" si="7"/>
        <v>0</v>
      </c>
      <c r="AK18" s="431">
        <f t="shared" si="7"/>
        <v>0</v>
      </c>
      <c r="AL18" s="431">
        <f t="shared" si="7"/>
        <v>0</v>
      </c>
      <c r="AM18" s="431">
        <f t="shared" si="7"/>
        <v>0</v>
      </c>
      <c r="AN18" s="431">
        <f t="shared" si="7"/>
        <v>0</v>
      </c>
      <c r="AO18" s="431">
        <f t="shared" si="7"/>
        <v>0</v>
      </c>
      <c r="AP18" s="431">
        <f t="shared" si="7"/>
        <v>0</v>
      </c>
      <c r="AQ18" s="431">
        <f t="shared" si="7"/>
        <v>0</v>
      </c>
      <c r="AR18" s="431">
        <f t="shared" si="7"/>
        <v>0</v>
      </c>
      <c r="AS18" s="431">
        <f t="shared" si="7"/>
        <v>0</v>
      </c>
      <c r="AT18" s="431">
        <f t="shared" si="7"/>
        <v>0</v>
      </c>
      <c r="AU18" s="431"/>
      <c r="AV18" s="431"/>
      <c r="AW18" s="431"/>
      <c r="AX18" s="431"/>
      <c r="AY18" s="431"/>
      <c r="AZ18" s="431"/>
      <c r="BA18" s="431"/>
      <c r="BB18" s="432"/>
      <c r="BC18" s="432"/>
      <c r="BD18" s="432"/>
      <c r="BE18" s="432"/>
      <c r="BF18" s="432"/>
      <c r="BG18" s="432"/>
      <c r="BH18" s="432"/>
      <c r="BI18" s="432"/>
      <c r="BJ18" s="432"/>
      <c r="BK18" s="432"/>
      <c r="BL18" s="432"/>
      <c r="BM18" s="432"/>
      <c r="BN18" s="432"/>
      <c r="BO18" s="432"/>
      <c r="BP18" s="432"/>
      <c r="BQ18" s="432"/>
      <c r="BR18" s="432"/>
      <c r="BS18" s="432"/>
      <c r="BT18" s="432"/>
      <c r="BU18" s="432"/>
      <c r="BV18" s="432"/>
      <c r="BW18" s="432"/>
      <c r="BX18" s="432"/>
      <c r="BY18" s="432"/>
      <c r="BZ18" s="432"/>
      <c r="CA18" s="432"/>
      <c r="CB18" s="432"/>
      <c r="CC18" s="432"/>
      <c r="CD18" s="432"/>
      <c r="CE18" s="432"/>
      <c r="CF18" s="432"/>
      <c r="CG18" s="432"/>
      <c r="CH18" s="432"/>
      <c r="CI18" s="432"/>
      <c r="CJ18" s="432"/>
      <c r="CK18" s="432"/>
      <c r="CL18" s="432"/>
      <c r="CM18" s="432"/>
      <c r="CN18" s="432"/>
      <c r="CO18" s="432"/>
      <c r="CP18" s="432"/>
      <c r="CQ18" s="432"/>
      <c r="CR18" s="432"/>
      <c r="CS18" s="432"/>
      <c r="CT18" s="432"/>
      <c r="CU18" s="432"/>
      <c r="CV18" s="432"/>
      <c r="CW18" s="432"/>
      <c r="CX18" s="432"/>
      <c r="CY18" s="432"/>
      <c r="CZ18" s="432"/>
      <c r="DA18" s="432"/>
      <c r="DB18" s="432"/>
      <c r="DC18" s="432"/>
      <c r="DD18" s="432"/>
      <c r="DE18" s="432"/>
      <c r="DF18" s="432"/>
      <c r="DG18" s="432"/>
      <c r="DH18" s="432"/>
      <c r="DI18" s="432"/>
      <c r="DJ18" s="432"/>
      <c r="DK18" s="432"/>
      <c r="DL18" s="432"/>
      <c r="DM18" s="432"/>
      <c r="DN18" s="432"/>
      <c r="DO18" s="432"/>
      <c r="DP18" s="432"/>
      <c r="DQ18" s="432"/>
      <c r="DR18" s="432"/>
      <c r="DS18" s="432"/>
      <c r="DT18" s="432"/>
      <c r="DU18" s="432"/>
      <c r="DV18" s="432"/>
      <c r="DW18" s="432"/>
      <c r="DX18" s="432"/>
      <c r="DY18" s="432"/>
      <c r="DZ18" s="432"/>
      <c r="EA18" s="432"/>
      <c r="EB18" s="432"/>
      <c r="EC18" s="432"/>
      <c r="ED18" s="432"/>
      <c r="EE18" s="432"/>
      <c r="EF18" s="432"/>
      <c r="EG18" s="432"/>
      <c r="EH18" s="432"/>
      <c r="EI18" s="432"/>
      <c r="EJ18" s="432"/>
      <c r="EK18" s="432"/>
      <c r="EL18" s="432"/>
      <c r="EM18" s="432"/>
      <c r="EN18" s="432"/>
      <c r="EO18" s="432"/>
      <c r="EP18" s="432"/>
      <c r="EQ18" s="432"/>
      <c r="ER18" s="432"/>
      <c r="ES18" s="432"/>
      <c r="ET18" s="432"/>
      <c r="EU18" s="432"/>
      <c r="EV18" s="432"/>
      <c r="EW18" s="432"/>
      <c r="EX18" s="432"/>
      <c r="EY18" s="432"/>
      <c r="EZ18" s="432"/>
      <c r="FA18" s="432"/>
      <c r="FB18" s="432"/>
      <c r="FC18" s="432"/>
      <c r="FD18" s="432"/>
      <c r="FE18" s="432"/>
      <c r="FF18" s="432"/>
      <c r="FG18" s="432"/>
      <c r="FH18" s="432"/>
      <c r="FI18" s="432"/>
    </row>
    <row r="19" spans="1:165" s="298" customFormat="1" hidden="1">
      <c r="A19" s="429" t="s">
        <v>579</v>
      </c>
      <c r="B19" s="297" t="str">
        <f>IF(Deal_Overview!$V$17&gt;0,G19/Deal_Overview!$V$17,"")</f>
        <v/>
      </c>
      <c r="C19" s="430">
        <f>Op_Costs!J11</f>
        <v>0.03</v>
      </c>
      <c r="D19" s="698">
        <f>Op_Costs!D11</f>
        <v>0</v>
      </c>
      <c r="E19" s="698">
        <f>Op_Costs!E11</f>
        <v>0</v>
      </c>
      <c r="F19" s="698">
        <f>Op_Costs!F11</f>
        <v>0</v>
      </c>
      <c r="G19" s="297">
        <f>Op_Costs!G11</f>
        <v>0</v>
      </c>
      <c r="H19" s="431">
        <f t="shared" si="6"/>
        <v>0</v>
      </c>
      <c r="I19" s="431">
        <f t="shared" si="6"/>
        <v>0</v>
      </c>
      <c r="J19" s="431">
        <f t="shared" si="6"/>
        <v>0</v>
      </c>
      <c r="K19" s="431">
        <f t="shared" si="6"/>
        <v>0</v>
      </c>
      <c r="L19" s="431">
        <f t="shared" si="6"/>
        <v>0</v>
      </c>
      <c r="M19" s="431">
        <f t="shared" si="6"/>
        <v>0</v>
      </c>
      <c r="N19" s="431">
        <f t="shared" si="6"/>
        <v>0</v>
      </c>
      <c r="O19" s="431">
        <f t="shared" si="6"/>
        <v>0</v>
      </c>
      <c r="P19" s="431">
        <f t="shared" si="6"/>
        <v>0</v>
      </c>
      <c r="Q19" s="431">
        <f t="shared" si="6"/>
        <v>0</v>
      </c>
      <c r="R19" s="431">
        <f t="shared" si="6"/>
        <v>0</v>
      </c>
      <c r="S19" s="431">
        <f t="shared" si="6"/>
        <v>0</v>
      </c>
      <c r="T19" s="431">
        <f t="shared" si="6"/>
        <v>0</v>
      </c>
      <c r="U19" s="431">
        <f t="shared" si="6"/>
        <v>0</v>
      </c>
      <c r="V19" s="431">
        <f t="shared" si="6"/>
        <v>0</v>
      </c>
      <c r="W19" s="431">
        <f t="shared" si="6"/>
        <v>0</v>
      </c>
      <c r="X19" s="431">
        <f t="shared" ref="X19:AT19" si="8">W19*(1+$C19)</f>
        <v>0</v>
      </c>
      <c r="Y19" s="431">
        <f t="shared" si="8"/>
        <v>0</v>
      </c>
      <c r="Z19" s="431">
        <f t="shared" si="8"/>
        <v>0</v>
      </c>
      <c r="AA19" s="431">
        <f t="shared" si="8"/>
        <v>0</v>
      </c>
      <c r="AB19" s="431">
        <f t="shared" si="8"/>
        <v>0</v>
      </c>
      <c r="AC19" s="431">
        <f t="shared" si="8"/>
        <v>0</v>
      </c>
      <c r="AD19" s="431">
        <f t="shared" si="8"/>
        <v>0</v>
      </c>
      <c r="AE19" s="431">
        <f t="shared" si="8"/>
        <v>0</v>
      </c>
      <c r="AF19" s="431">
        <f t="shared" si="8"/>
        <v>0</v>
      </c>
      <c r="AG19" s="431">
        <f t="shared" si="8"/>
        <v>0</v>
      </c>
      <c r="AH19" s="431">
        <f t="shared" si="8"/>
        <v>0</v>
      </c>
      <c r="AI19" s="431">
        <f t="shared" si="8"/>
        <v>0</v>
      </c>
      <c r="AJ19" s="431">
        <f t="shared" si="8"/>
        <v>0</v>
      </c>
      <c r="AK19" s="431">
        <f t="shared" si="8"/>
        <v>0</v>
      </c>
      <c r="AL19" s="431">
        <f t="shared" si="8"/>
        <v>0</v>
      </c>
      <c r="AM19" s="431">
        <f t="shared" si="8"/>
        <v>0</v>
      </c>
      <c r="AN19" s="431">
        <f t="shared" si="8"/>
        <v>0</v>
      </c>
      <c r="AO19" s="431">
        <f t="shared" si="8"/>
        <v>0</v>
      </c>
      <c r="AP19" s="431">
        <f t="shared" si="8"/>
        <v>0</v>
      </c>
      <c r="AQ19" s="431">
        <f t="shared" si="8"/>
        <v>0</v>
      </c>
      <c r="AR19" s="431">
        <f t="shared" si="8"/>
        <v>0</v>
      </c>
      <c r="AS19" s="431">
        <f t="shared" si="8"/>
        <v>0</v>
      </c>
      <c r="AT19" s="431">
        <f t="shared" si="8"/>
        <v>0</v>
      </c>
      <c r="AU19" s="431"/>
      <c r="AV19" s="431"/>
      <c r="AW19" s="431"/>
      <c r="AX19" s="431"/>
      <c r="AY19" s="431"/>
      <c r="AZ19" s="431"/>
      <c r="BA19" s="431"/>
      <c r="BB19" s="432"/>
      <c r="BC19" s="432"/>
      <c r="BD19" s="432"/>
      <c r="BE19" s="432"/>
      <c r="BF19" s="432"/>
      <c r="BG19" s="432"/>
      <c r="BH19" s="432"/>
      <c r="BI19" s="432"/>
      <c r="BJ19" s="432"/>
      <c r="BK19" s="432"/>
      <c r="BL19" s="432"/>
      <c r="BM19" s="432"/>
      <c r="BN19" s="432"/>
      <c r="BO19" s="432"/>
      <c r="BP19" s="432"/>
      <c r="BQ19" s="432"/>
      <c r="BR19" s="432"/>
      <c r="BS19" s="432"/>
      <c r="BT19" s="432"/>
      <c r="BU19" s="432"/>
      <c r="BV19" s="432"/>
      <c r="BW19" s="432"/>
      <c r="BX19" s="432"/>
      <c r="BY19" s="432"/>
      <c r="BZ19" s="432"/>
      <c r="CA19" s="432"/>
      <c r="CB19" s="432"/>
      <c r="CC19" s="432"/>
      <c r="CD19" s="432"/>
      <c r="CE19" s="432"/>
      <c r="CF19" s="432"/>
      <c r="CG19" s="432"/>
      <c r="CH19" s="432"/>
      <c r="CI19" s="432"/>
      <c r="CJ19" s="432"/>
      <c r="CK19" s="432"/>
      <c r="CL19" s="432"/>
      <c r="CM19" s="432"/>
      <c r="CN19" s="432"/>
      <c r="CO19" s="432"/>
      <c r="CP19" s="432"/>
      <c r="CQ19" s="432"/>
      <c r="CR19" s="432"/>
      <c r="CS19" s="432"/>
      <c r="CT19" s="432"/>
      <c r="CU19" s="432"/>
      <c r="CV19" s="432"/>
      <c r="CW19" s="432"/>
      <c r="CX19" s="432"/>
      <c r="CY19" s="432"/>
      <c r="CZ19" s="432"/>
      <c r="DA19" s="432"/>
      <c r="DB19" s="432"/>
      <c r="DC19" s="432"/>
      <c r="DD19" s="432"/>
      <c r="DE19" s="432"/>
      <c r="DF19" s="432"/>
      <c r="DG19" s="432"/>
      <c r="DH19" s="432"/>
      <c r="DI19" s="432"/>
      <c r="DJ19" s="432"/>
      <c r="DK19" s="432"/>
      <c r="DL19" s="432"/>
      <c r="DM19" s="432"/>
      <c r="DN19" s="432"/>
      <c r="DO19" s="432"/>
      <c r="DP19" s="432"/>
      <c r="DQ19" s="432"/>
      <c r="DR19" s="432"/>
      <c r="DS19" s="432"/>
      <c r="DT19" s="432"/>
      <c r="DU19" s="432"/>
      <c r="DV19" s="432"/>
      <c r="DW19" s="432"/>
      <c r="DX19" s="432"/>
      <c r="DY19" s="432"/>
      <c r="DZ19" s="432"/>
      <c r="EA19" s="432"/>
      <c r="EB19" s="432"/>
      <c r="EC19" s="432"/>
      <c r="ED19" s="432"/>
      <c r="EE19" s="432"/>
      <c r="EF19" s="432"/>
      <c r="EG19" s="432"/>
      <c r="EH19" s="432"/>
      <c r="EI19" s="432"/>
      <c r="EJ19" s="432"/>
      <c r="EK19" s="432"/>
      <c r="EL19" s="432"/>
      <c r="EM19" s="432"/>
      <c r="EN19" s="432"/>
      <c r="EO19" s="432"/>
      <c r="EP19" s="432"/>
      <c r="EQ19" s="432"/>
      <c r="ER19" s="432"/>
      <c r="ES19" s="432"/>
      <c r="ET19" s="432"/>
      <c r="EU19" s="432"/>
      <c r="EV19" s="432"/>
      <c r="EW19" s="432"/>
      <c r="EX19" s="432"/>
      <c r="EY19" s="432"/>
      <c r="EZ19" s="432"/>
      <c r="FA19" s="432"/>
      <c r="FB19" s="432"/>
      <c r="FC19" s="432"/>
      <c r="FD19" s="432"/>
      <c r="FE19" s="432"/>
      <c r="FF19" s="432"/>
      <c r="FG19" s="432"/>
      <c r="FH19" s="432"/>
      <c r="FI19" s="432"/>
    </row>
    <row r="20" spans="1:165" s="432" customFormat="1" hidden="1">
      <c r="A20" s="444" t="str">
        <f>Op_Costs!C12</f>
        <v>Other Administration</v>
      </c>
      <c r="B20" s="431" t="str">
        <f>IF(Deal_Overview!$V$17&gt;0,G20/Deal_Overview!$V$17,"")</f>
        <v/>
      </c>
      <c r="C20" s="445">
        <f>Op_Costs!J12</f>
        <v>0.03</v>
      </c>
      <c r="D20" s="698">
        <f>Op_Costs!D12</f>
        <v>0</v>
      </c>
      <c r="E20" s="698">
        <f>Op_Costs!E12</f>
        <v>0</v>
      </c>
      <c r="F20" s="698">
        <f>Op_Costs!F12</f>
        <v>0</v>
      </c>
      <c r="G20" s="297">
        <f>Op_Costs!G12</f>
        <v>0</v>
      </c>
      <c r="H20" s="431">
        <f t="shared" ref="H20:AT20" si="9">G20*(1+$C20)</f>
        <v>0</v>
      </c>
      <c r="I20" s="431">
        <f t="shared" si="9"/>
        <v>0</v>
      </c>
      <c r="J20" s="431">
        <f t="shared" si="9"/>
        <v>0</v>
      </c>
      <c r="K20" s="431">
        <f t="shared" si="9"/>
        <v>0</v>
      </c>
      <c r="L20" s="431">
        <f t="shared" si="9"/>
        <v>0</v>
      </c>
      <c r="M20" s="431">
        <f t="shared" si="9"/>
        <v>0</v>
      </c>
      <c r="N20" s="431">
        <f t="shared" si="9"/>
        <v>0</v>
      </c>
      <c r="O20" s="431">
        <f t="shared" si="9"/>
        <v>0</v>
      </c>
      <c r="P20" s="431">
        <f t="shared" si="9"/>
        <v>0</v>
      </c>
      <c r="Q20" s="431">
        <f t="shared" si="9"/>
        <v>0</v>
      </c>
      <c r="R20" s="431">
        <f t="shared" si="9"/>
        <v>0</v>
      </c>
      <c r="S20" s="431">
        <f t="shared" si="9"/>
        <v>0</v>
      </c>
      <c r="T20" s="431">
        <f t="shared" si="9"/>
        <v>0</v>
      </c>
      <c r="U20" s="431">
        <f t="shared" si="9"/>
        <v>0</v>
      </c>
      <c r="V20" s="431">
        <f t="shared" si="9"/>
        <v>0</v>
      </c>
      <c r="W20" s="431">
        <f t="shared" si="9"/>
        <v>0</v>
      </c>
      <c r="X20" s="431">
        <f t="shared" si="9"/>
        <v>0</v>
      </c>
      <c r="Y20" s="431">
        <f t="shared" si="9"/>
        <v>0</v>
      </c>
      <c r="Z20" s="431">
        <f t="shared" si="9"/>
        <v>0</v>
      </c>
      <c r="AA20" s="431">
        <f t="shared" si="9"/>
        <v>0</v>
      </c>
      <c r="AB20" s="431">
        <f t="shared" si="9"/>
        <v>0</v>
      </c>
      <c r="AC20" s="431">
        <f t="shared" si="9"/>
        <v>0</v>
      </c>
      <c r="AD20" s="431">
        <f t="shared" si="9"/>
        <v>0</v>
      </c>
      <c r="AE20" s="431">
        <f t="shared" si="9"/>
        <v>0</v>
      </c>
      <c r="AF20" s="431">
        <f t="shared" si="9"/>
        <v>0</v>
      </c>
      <c r="AG20" s="431">
        <f t="shared" si="9"/>
        <v>0</v>
      </c>
      <c r="AH20" s="431">
        <f t="shared" si="9"/>
        <v>0</v>
      </c>
      <c r="AI20" s="431">
        <f t="shared" si="9"/>
        <v>0</v>
      </c>
      <c r="AJ20" s="431">
        <f t="shared" si="9"/>
        <v>0</v>
      </c>
      <c r="AK20" s="431">
        <f t="shared" si="9"/>
        <v>0</v>
      </c>
      <c r="AL20" s="431">
        <f t="shared" si="9"/>
        <v>0</v>
      </c>
      <c r="AM20" s="431">
        <f t="shared" si="9"/>
        <v>0</v>
      </c>
      <c r="AN20" s="431">
        <f t="shared" si="9"/>
        <v>0</v>
      </c>
      <c r="AO20" s="431">
        <f t="shared" si="9"/>
        <v>0</v>
      </c>
      <c r="AP20" s="431">
        <f t="shared" si="9"/>
        <v>0</v>
      </c>
      <c r="AQ20" s="431">
        <f t="shared" si="9"/>
        <v>0</v>
      </c>
      <c r="AR20" s="431">
        <f t="shared" si="9"/>
        <v>0</v>
      </c>
      <c r="AS20" s="431">
        <f t="shared" si="9"/>
        <v>0</v>
      </c>
      <c r="AT20" s="431">
        <f t="shared" si="9"/>
        <v>0</v>
      </c>
      <c r="AU20" s="431"/>
      <c r="AV20" s="431"/>
      <c r="AW20" s="431"/>
      <c r="AX20" s="431"/>
      <c r="AY20" s="431"/>
      <c r="AZ20" s="431"/>
      <c r="BA20" s="431"/>
    </row>
    <row r="21" spans="1:165" s="450" customFormat="1">
      <c r="A21" s="447" t="str">
        <f>Op_Costs!B13</f>
        <v>Administration Subtotal</v>
      </c>
      <c r="B21" s="448" t="str">
        <f>IF(Deal_Overview!$V$17&gt;0,G21/Deal_Overview!$V$17,"")</f>
        <v/>
      </c>
      <c r="C21" s="449"/>
      <c r="D21" s="699">
        <f t="shared" ref="D21:AT21" si="10">SUM(D12:D20)</f>
        <v>0</v>
      </c>
      <c r="E21" s="699">
        <f t="shared" si="10"/>
        <v>0</v>
      </c>
      <c r="F21" s="699">
        <f t="shared" si="10"/>
        <v>0</v>
      </c>
      <c r="G21" s="448">
        <f t="shared" si="10"/>
        <v>0</v>
      </c>
      <c r="H21" s="448">
        <f t="shared" si="10"/>
        <v>0</v>
      </c>
      <c r="I21" s="448">
        <f t="shared" si="10"/>
        <v>0</v>
      </c>
      <c r="J21" s="448">
        <f t="shared" si="10"/>
        <v>0</v>
      </c>
      <c r="K21" s="448">
        <f t="shared" si="10"/>
        <v>0</v>
      </c>
      <c r="L21" s="448">
        <f t="shared" si="10"/>
        <v>0</v>
      </c>
      <c r="M21" s="448">
        <f t="shared" si="10"/>
        <v>0</v>
      </c>
      <c r="N21" s="448">
        <f t="shared" si="10"/>
        <v>0</v>
      </c>
      <c r="O21" s="448">
        <f t="shared" si="10"/>
        <v>0</v>
      </c>
      <c r="P21" s="448">
        <f t="shared" si="10"/>
        <v>0</v>
      </c>
      <c r="Q21" s="448">
        <f t="shared" si="10"/>
        <v>0</v>
      </c>
      <c r="R21" s="448">
        <f t="shared" si="10"/>
        <v>0</v>
      </c>
      <c r="S21" s="448">
        <f t="shared" si="10"/>
        <v>0</v>
      </c>
      <c r="T21" s="448">
        <f t="shared" si="10"/>
        <v>0</v>
      </c>
      <c r="U21" s="448">
        <f t="shared" si="10"/>
        <v>0</v>
      </c>
      <c r="V21" s="448">
        <f t="shared" si="10"/>
        <v>0</v>
      </c>
      <c r="W21" s="448">
        <f t="shared" si="10"/>
        <v>0</v>
      </c>
      <c r="X21" s="448">
        <f t="shared" si="10"/>
        <v>0</v>
      </c>
      <c r="Y21" s="448">
        <f t="shared" si="10"/>
        <v>0</v>
      </c>
      <c r="Z21" s="448">
        <f t="shared" si="10"/>
        <v>0</v>
      </c>
      <c r="AA21" s="448">
        <f t="shared" si="10"/>
        <v>0</v>
      </c>
      <c r="AB21" s="448">
        <f t="shared" si="10"/>
        <v>0</v>
      </c>
      <c r="AC21" s="448">
        <f t="shared" si="10"/>
        <v>0</v>
      </c>
      <c r="AD21" s="448">
        <f t="shared" si="10"/>
        <v>0</v>
      </c>
      <c r="AE21" s="448">
        <f t="shared" si="10"/>
        <v>0</v>
      </c>
      <c r="AF21" s="448">
        <f t="shared" si="10"/>
        <v>0</v>
      </c>
      <c r="AG21" s="448">
        <f t="shared" si="10"/>
        <v>0</v>
      </c>
      <c r="AH21" s="448">
        <f t="shared" si="10"/>
        <v>0</v>
      </c>
      <c r="AI21" s="448">
        <f t="shared" si="10"/>
        <v>0</v>
      </c>
      <c r="AJ21" s="448">
        <f t="shared" si="10"/>
        <v>0</v>
      </c>
      <c r="AK21" s="448">
        <f t="shared" si="10"/>
        <v>0</v>
      </c>
      <c r="AL21" s="448">
        <f t="shared" si="10"/>
        <v>0</v>
      </c>
      <c r="AM21" s="448">
        <f t="shared" si="10"/>
        <v>0</v>
      </c>
      <c r="AN21" s="448">
        <f t="shared" si="10"/>
        <v>0</v>
      </c>
      <c r="AO21" s="448">
        <f t="shared" si="10"/>
        <v>0</v>
      </c>
      <c r="AP21" s="448">
        <f t="shared" si="10"/>
        <v>0</v>
      </c>
      <c r="AQ21" s="448">
        <f t="shared" si="10"/>
        <v>0</v>
      </c>
      <c r="AR21" s="448">
        <f t="shared" si="10"/>
        <v>0</v>
      </c>
      <c r="AS21" s="448">
        <f t="shared" si="10"/>
        <v>0</v>
      </c>
      <c r="AT21" s="448">
        <f t="shared" si="10"/>
        <v>0</v>
      </c>
      <c r="AU21" s="448"/>
      <c r="AV21" s="448"/>
      <c r="AW21" s="448"/>
      <c r="AX21" s="448"/>
      <c r="AY21" s="448"/>
      <c r="AZ21" s="448"/>
      <c r="BA21" s="448"/>
    </row>
    <row r="22" spans="1:165" s="298" customFormat="1" hidden="1">
      <c r="A22" s="429" t="str">
        <f>Op_Costs!C14</f>
        <v>Management Fee</v>
      </c>
      <c r="B22" s="297" t="str">
        <f>IF(Deal_Overview!$V$17&gt;0,G22/Deal_Overview!$V$17,"")</f>
        <v/>
      </c>
      <c r="C22" s="430">
        <f>Op_Costs!J14</f>
        <v>0.02</v>
      </c>
      <c r="D22" s="698">
        <f>Op_Costs!D14</f>
        <v>0</v>
      </c>
      <c r="E22" s="698">
        <f>Op_Costs!E14</f>
        <v>0</v>
      </c>
      <c r="F22" s="698">
        <f>Op_Costs!F14</f>
        <v>0</v>
      </c>
      <c r="G22" s="297">
        <f>Op_Costs!G14</f>
        <v>0</v>
      </c>
      <c r="H22" s="297">
        <f>G22*(1+Op_Costs!$J14)</f>
        <v>0</v>
      </c>
      <c r="I22" s="297">
        <f>H22*(1+Op_Costs!$J14)</f>
        <v>0</v>
      </c>
      <c r="J22" s="297">
        <f>I22*(1+Op_Costs!$J14)</f>
        <v>0</v>
      </c>
      <c r="K22" s="297">
        <f>J22*(1+Op_Costs!$J14)</f>
        <v>0</v>
      </c>
      <c r="L22" s="297">
        <f>K22*(1+Op_Costs!$J14)</f>
        <v>0</v>
      </c>
      <c r="M22" s="297">
        <f>L22*(1+Op_Costs!$J14)</f>
        <v>0</v>
      </c>
      <c r="N22" s="297">
        <f>M22*(1+Op_Costs!$J14)</f>
        <v>0</v>
      </c>
      <c r="O22" s="297">
        <f>N22*(1+Op_Costs!$J14)</f>
        <v>0</v>
      </c>
      <c r="P22" s="297">
        <f>O22*(1+Op_Costs!$J14)</f>
        <v>0</v>
      </c>
      <c r="Q22" s="297">
        <f>P22*(1+Op_Costs!$J14)</f>
        <v>0</v>
      </c>
      <c r="R22" s="297">
        <f>Q22*(1+Op_Costs!$J14)</f>
        <v>0</v>
      </c>
      <c r="S22" s="297">
        <f>R22*(1+Op_Costs!$J14)</f>
        <v>0</v>
      </c>
      <c r="T22" s="297">
        <f>S22*(1+Op_Costs!$J14)</f>
        <v>0</v>
      </c>
      <c r="U22" s="297">
        <f>T22*(1+Op_Costs!$J14)</f>
        <v>0</v>
      </c>
      <c r="V22" s="297">
        <f>U22*(1+Op_Costs!$J14)</f>
        <v>0</v>
      </c>
      <c r="W22" s="297">
        <f>V22*(1+Op_Costs!$J14)</f>
        <v>0</v>
      </c>
      <c r="X22" s="297">
        <f>W22*(1+Op_Costs!$J14)</f>
        <v>0</v>
      </c>
      <c r="Y22" s="297">
        <f>X22*(1+Op_Costs!$J14)</f>
        <v>0</v>
      </c>
      <c r="Z22" s="297">
        <f>Y22*(1+Op_Costs!$J14)</f>
        <v>0</v>
      </c>
      <c r="AA22" s="297">
        <f>Z22*(1+Op_Costs!$J14)</f>
        <v>0</v>
      </c>
      <c r="AB22" s="297">
        <f>AA22*(1+Op_Costs!$J14)</f>
        <v>0</v>
      </c>
      <c r="AC22" s="297">
        <f>AB22*(1+Op_Costs!$J14)</f>
        <v>0</v>
      </c>
      <c r="AD22" s="297">
        <f>AC22*(1+Op_Costs!$J14)</f>
        <v>0</v>
      </c>
      <c r="AE22" s="297">
        <f>AD22*(1+Op_Costs!$J14)</f>
        <v>0</v>
      </c>
      <c r="AF22" s="297">
        <f>AE22*(1+Op_Costs!$J14)</f>
        <v>0</v>
      </c>
      <c r="AG22" s="297">
        <f>AF22*(1+Op_Costs!$J14)</f>
        <v>0</v>
      </c>
      <c r="AH22" s="297">
        <f>AG22*(1+Op_Costs!$J14)</f>
        <v>0</v>
      </c>
      <c r="AI22" s="297">
        <f>AH22*(1+Op_Costs!$J14)</f>
        <v>0</v>
      </c>
      <c r="AJ22" s="297">
        <f>AI22*(1+Op_Costs!$J14)</f>
        <v>0</v>
      </c>
      <c r="AK22" s="297">
        <f>AJ22*(1+Op_Costs!$J14)</f>
        <v>0</v>
      </c>
      <c r="AL22" s="297">
        <f>AK22*(1+Op_Costs!$J14)</f>
        <v>0</v>
      </c>
      <c r="AM22" s="297">
        <f>AL22*(1+Op_Costs!$J14)</f>
        <v>0</v>
      </c>
      <c r="AN22" s="297">
        <f>AM22*(1+Op_Costs!$J14)</f>
        <v>0</v>
      </c>
      <c r="AO22" s="297">
        <f>AN22*(1+Op_Costs!$J14)</f>
        <v>0</v>
      </c>
      <c r="AP22" s="297">
        <f>AO22*(1+Op_Costs!$J14)</f>
        <v>0</v>
      </c>
      <c r="AQ22" s="297">
        <f>AP22*(1+Op_Costs!$J14)</f>
        <v>0</v>
      </c>
      <c r="AR22" s="297">
        <f>AQ22*(1+Op_Costs!$J14)</f>
        <v>0</v>
      </c>
      <c r="AS22" s="297">
        <f>AR22*(1+Op_Costs!$J14)</f>
        <v>0</v>
      </c>
      <c r="AT22" s="297">
        <f>AS22*(1+Op_Costs!$J14)</f>
        <v>0</v>
      </c>
      <c r="AU22" s="431"/>
      <c r="AV22" s="431"/>
      <c r="AW22" s="431"/>
      <c r="AX22" s="431"/>
      <c r="AY22" s="431"/>
      <c r="AZ22" s="431"/>
      <c r="BA22" s="431"/>
      <c r="BB22" s="432"/>
      <c r="BC22" s="432"/>
      <c r="BD22" s="432"/>
      <c r="BE22" s="432"/>
      <c r="BF22" s="432"/>
      <c r="BG22" s="432"/>
      <c r="BH22" s="432"/>
      <c r="BI22" s="432"/>
      <c r="BJ22" s="432"/>
      <c r="BK22" s="432"/>
      <c r="BL22" s="432"/>
      <c r="BM22" s="432"/>
      <c r="BN22" s="432"/>
      <c r="BO22" s="432"/>
      <c r="BP22" s="432"/>
      <c r="BQ22" s="432"/>
      <c r="BR22" s="432"/>
      <c r="BS22" s="432"/>
      <c r="BT22" s="432"/>
      <c r="BU22" s="432"/>
      <c r="BV22" s="432"/>
      <c r="BW22" s="432"/>
      <c r="BX22" s="432"/>
      <c r="BY22" s="432"/>
      <c r="BZ22" s="432"/>
      <c r="CA22" s="432"/>
      <c r="CB22" s="432"/>
      <c r="CC22" s="432"/>
      <c r="CD22" s="432"/>
      <c r="CE22" s="432"/>
      <c r="CF22" s="432"/>
      <c r="CG22" s="432"/>
      <c r="CH22" s="432"/>
      <c r="CI22" s="432"/>
      <c r="CJ22" s="432"/>
      <c r="CK22" s="432"/>
      <c r="CL22" s="432"/>
      <c r="CM22" s="432"/>
      <c r="CN22" s="432"/>
      <c r="CO22" s="432"/>
      <c r="CP22" s="432"/>
      <c r="CQ22" s="432"/>
      <c r="CR22" s="432"/>
      <c r="CS22" s="432"/>
      <c r="CT22" s="432"/>
      <c r="CU22" s="432"/>
      <c r="CV22" s="432"/>
      <c r="CW22" s="432"/>
      <c r="CX22" s="432"/>
      <c r="CY22" s="432"/>
      <c r="CZ22" s="432"/>
      <c r="DA22" s="432"/>
      <c r="DB22" s="432"/>
      <c r="DC22" s="432"/>
      <c r="DD22" s="432"/>
      <c r="DE22" s="432"/>
      <c r="DF22" s="432"/>
      <c r="DG22" s="432"/>
      <c r="DH22" s="432"/>
      <c r="DI22" s="432"/>
      <c r="DJ22" s="432"/>
      <c r="DK22" s="432"/>
      <c r="DL22" s="432"/>
      <c r="DM22" s="432"/>
      <c r="DN22" s="432"/>
      <c r="DO22" s="432"/>
      <c r="DP22" s="432"/>
      <c r="DQ22" s="432"/>
      <c r="DR22" s="432"/>
      <c r="DS22" s="432"/>
      <c r="DT22" s="432"/>
      <c r="DU22" s="432"/>
      <c r="DV22" s="432"/>
      <c r="DW22" s="432"/>
      <c r="DX22" s="432"/>
      <c r="DY22" s="432"/>
      <c r="DZ22" s="432"/>
      <c r="EA22" s="432"/>
      <c r="EB22" s="432"/>
      <c r="EC22" s="432"/>
      <c r="ED22" s="432"/>
      <c r="EE22" s="432"/>
      <c r="EF22" s="432"/>
      <c r="EG22" s="432"/>
      <c r="EH22" s="432"/>
      <c r="EI22" s="432"/>
      <c r="EJ22" s="432"/>
      <c r="EK22" s="432"/>
      <c r="EL22" s="432"/>
      <c r="EM22" s="432"/>
      <c r="EN22" s="432"/>
      <c r="EO22" s="432"/>
      <c r="EP22" s="432"/>
      <c r="EQ22" s="432"/>
      <c r="ER22" s="432"/>
      <c r="ES22" s="432"/>
      <c r="ET22" s="432"/>
      <c r="EU22" s="432"/>
      <c r="EV22" s="432"/>
      <c r="EW22" s="432"/>
      <c r="EX22" s="432"/>
      <c r="EY22" s="432"/>
      <c r="EZ22" s="432"/>
      <c r="FA22" s="432"/>
      <c r="FB22" s="432"/>
      <c r="FC22" s="432"/>
      <c r="FD22" s="432"/>
      <c r="FE22" s="432"/>
      <c r="FF22" s="432"/>
      <c r="FG22" s="432"/>
      <c r="FH22" s="432"/>
      <c r="FI22" s="432"/>
    </row>
    <row r="23" spans="1:165" s="298" customFormat="1" hidden="1">
      <c r="A23" s="429" t="str">
        <f>Op_Costs!C15</f>
        <v>Asset Management Fee</v>
      </c>
      <c r="B23" s="297" t="str">
        <f>IF(Deal_Overview!$V$17&gt;0,G23/Deal_Overview!$V$17,"")</f>
        <v/>
      </c>
      <c r="C23" s="430">
        <f>Op_Costs!J15</f>
        <v>0.03</v>
      </c>
      <c r="D23" s="698">
        <f>Op_Costs!D15</f>
        <v>0</v>
      </c>
      <c r="E23" s="698">
        <f>Op_Costs!E15</f>
        <v>0</v>
      </c>
      <c r="F23" s="698">
        <f>Op_Costs!F15</f>
        <v>0</v>
      </c>
      <c r="G23" s="297">
        <f>Op_Costs!G15</f>
        <v>0</v>
      </c>
      <c r="H23" s="431">
        <f>G23*(1+$C23)</f>
        <v>0</v>
      </c>
      <c r="I23" s="431">
        <f t="shared" ref="I23:AT25" si="11">H23*(1+$C23)</f>
        <v>0</v>
      </c>
      <c r="J23" s="431">
        <f t="shared" si="11"/>
        <v>0</v>
      </c>
      <c r="K23" s="431">
        <f t="shared" si="11"/>
        <v>0</v>
      </c>
      <c r="L23" s="431">
        <f t="shared" si="11"/>
        <v>0</v>
      </c>
      <c r="M23" s="431">
        <f t="shared" si="11"/>
        <v>0</v>
      </c>
      <c r="N23" s="431">
        <f t="shared" si="11"/>
        <v>0</v>
      </c>
      <c r="O23" s="431">
        <f t="shared" si="11"/>
        <v>0</v>
      </c>
      <c r="P23" s="431">
        <f t="shared" si="11"/>
        <v>0</v>
      </c>
      <c r="Q23" s="431">
        <f t="shared" si="11"/>
        <v>0</v>
      </c>
      <c r="R23" s="431">
        <f t="shared" si="11"/>
        <v>0</v>
      </c>
      <c r="S23" s="431">
        <f t="shared" si="11"/>
        <v>0</v>
      </c>
      <c r="T23" s="431">
        <f t="shared" si="11"/>
        <v>0</v>
      </c>
      <c r="U23" s="431">
        <f t="shared" si="11"/>
        <v>0</v>
      </c>
      <c r="V23" s="431">
        <f t="shared" si="11"/>
        <v>0</v>
      </c>
      <c r="W23" s="431">
        <f t="shared" si="11"/>
        <v>0</v>
      </c>
      <c r="X23" s="431">
        <f t="shared" si="11"/>
        <v>0</v>
      </c>
      <c r="Y23" s="431">
        <f t="shared" si="11"/>
        <v>0</v>
      </c>
      <c r="Z23" s="431">
        <f t="shared" si="11"/>
        <v>0</v>
      </c>
      <c r="AA23" s="431">
        <f t="shared" si="11"/>
        <v>0</v>
      </c>
      <c r="AB23" s="431">
        <f t="shared" si="11"/>
        <v>0</v>
      </c>
      <c r="AC23" s="431">
        <f t="shared" si="11"/>
        <v>0</v>
      </c>
      <c r="AD23" s="431">
        <f t="shared" si="11"/>
        <v>0</v>
      </c>
      <c r="AE23" s="431">
        <f t="shared" si="11"/>
        <v>0</v>
      </c>
      <c r="AF23" s="431">
        <f t="shared" si="11"/>
        <v>0</v>
      </c>
      <c r="AG23" s="431">
        <f t="shared" si="11"/>
        <v>0</v>
      </c>
      <c r="AH23" s="431">
        <f t="shared" si="11"/>
        <v>0</v>
      </c>
      <c r="AI23" s="431">
        <f t="shared" si="11"/>
        <v>0</v>
      </c>
      <c r="AJ23" s="431">
        <f t="shared" si="11"/>
        <v>0</v>
      </c>
      <c r="AK23" s="431">
        <f t="shared" si="11"/>
        <v>0</v>
      </c>
      <c r="AL23" s="431">
        <f t="shared" si="11"/>
        <v>0</v>
      </c>
      <c r="AM23" s="431">
        <f t="shared" si="11"/>
        <v>0</v>
      </c>
      <c r="AN23" s="431">
        <f t="shared" si="11"/>
        <v>0</v>
      </c>
      <c r="AO23" s="431">
        <f t="shared" si="11"/>
        <v>0</v>
      </c>
      <c r="AP23" s="431">
        <f t="shared" si="11"/>
        <v>0</v>
      </c>
      <c r="AQ23" s="431">
        <f t="shared" si="11"/>
        <v>0</v>
      </c>
      <c r="AR23" s="431">
        <f t="shared" si="11"/>
        <v>0</v>
      </c>
      <c r="AS23" s="431">
        <f t="shared" si="11"/>
        <v>0</v>
      </c>
      <c r="AT23" s="431">
        <f t="shared" si="11"/>
        <v>0</v>
      </c>
      <c r="AU23" s="431"/>
      <c r="AV23" s="431"/>
      <c r="AW23" s="431"/>
      <c r="AX23" s="431"/>
      <c r="AY23" s="431"/>
      <c r="AZ23" s="431"/>
      <c r="BA23" s="431"/>
      <c r="BB23" s="432"/>
      <c r="BC23" s="432"/>
      <c r="BD23" s="432"/>
      <c r="BE23" s="432"/>
      <c r="BF23" s="432"/>
      <c r="BG23" s="432"/>
      <c r="BH23" s="432"/>
      <c r="BI23" s="432"/>
      <c r="BJ23" s="432"/>
      <c r="BK23" s="432"/>
      <c r="BL23" s="432"/>
      <c r="BM23" s="432"/>
      <c r="BN23" s="432"/>
      <c r="BO23" s="432"/>
      <c r="BP23" s="432"/>
      <c r="BQ23" s="432"/>
      <c r="BR23" s="432"/>
      <c r="BS23" s="432"/>
      <c r="BT23" s="432"/>
      <c r="BU23" s="432"/>
      <c r="BV23" s="432"/>
      <c r="BW23" s="432"/>
      <c r="BX23" s="432"/>
      <c r="BY23" s="432"/>
      <c r="BZ23" s="432"/>
      <c r="CA23" s="432"/>
      <c r="CB23" s="432"/>
      <c r="CC23" s="432"/>
      <c r="CD23" s="432"/>
      <c r="CE23" s="432"/>
      <c r="CF23" s="432"/>
      <c r="CG23" s="432"/>
      <c r="CH23" s="432"/>
      <c r="CI23" s="432"/>
      <c r="CJ23" s="432"/>
      <c r="CK23" s="432"/>
      <c r="CL23" s="432"/>
      <c r="CM23" s="432"/>
      <c r="CN23" s="432"/>
      <c r="CO23" s="432"/>
      <c r="CP23" s="432"/>
      <c r="CQ23" s="432"/>
      <c r="CR23" s="432"/>
      <c r="CS23" s="432"/>
      <c r="CT23" s="432"/>
      <c r="CU23" s="432"/>
      <c r="CV23" s="432"/>
      <c r="CW23" s="432"/>
      <c r="CX23" s="432"/>
      <c r="CY23" s="432"/>
      <c r="CZ23" s="432"/>
      <c r="DA23" s="432"/>
      <c r="DB23" s="432"/>
      <c r="DC23" s="432"/>
      <c r="DD23" s="432"/>
      <c r="DE23" s="432"/>
      <c r="DF23" s="432"/>
      <c r="DG23" s="432"/>
      <c r="DH23" s="432"/>
      <c r="DI23" s="432"/>
      <c r="DJ23" s="432"/>
      <c r="DK23" s="432"/>
      <c r="DL23" s="432"/>
      <c r="DM23" s="432"/>
      <c r="DN23" s="432"/>
      <c r="DO23" s="432"/>
      <c r="DP23" s="432"/>
      <c r="DQ23" s="432"/>
      <c r="DR23" s="432"/>
      <c r="DS23" s="432"/>
      <c r="DT23" s="432"/>
      <c r="DU23" s="432"/>
      <c r="DV23" s="432"/>
      <c r="DW23" s="432"/>
      <c r="DX23" s="432"/>
      <c r="DY23" s="432"/>
      <c r="DZ23" s="432"/>
      <c r="EA23" s="432"/>
      <c r="EB23" s="432"/>
      <c r="EC23" s="432"/>
      <c r="ED23" s="432"/>
      <c r="EE23" s="432"/>
      <c r="EF23" s="432"/>
      <c r="EG23" s="432"/>
      <c r="EH23" s="432"/>
      <c r="EI23" s="432"/>
      <c r="EJ23" s="432"/>
      <c r="EK23" s="432"/>
      <c r="EL23" s="432"/>
      <c r="EM23" s="432"/>
      <c r="EN23" s="432"/>
      <c r="EO23" s="432"/>
      <c r="EP23" s="432"/>
      <c r="EQ23" s="432"/>
      <c r="ER23" s="432"/>
      <c r="ES23" s="432"/>
      <c r="ET23" s="432"/>
      <c r="EU23" s="432"/>
      <c r="EV23" s="432"/>
      <c r="EW23" s="432"/>
      <c r="EX23" s="432"/>
      <c r="EY23" s="432"/>
      <c r="EZ23" s="432"/>
      <c r="FA23" s="432"/>
      <c r="FB23" s="432"/>
      <c r="FC23" s="432"/>
      <c r="FD23" s="432"/>
      <c r="FE23" s="432"/>
      <c r="FF23" s="432"/>
      <c r="FG23" s="432"/>
      <c r="FH23" s="432"/>
      <c r="FI23" s="432"/>
    </row>
    <row r="24" spans="1:165" s="298" customFormat="1" hidden="1">
      <c r="A24" s="429" t="str">
        <f>Op_Costs!C16</f>
        <v>Property Manager Fee</v>
      </c>
      <c r="B24" s="297" t="str">
        <f>IF(Deal_Overview!$V$17&gt;0,G24/Deal_Overview!$V$17,"")</f>
        <v/>
      </c>
      <c r="C24" s="430">
        <f>Op_Costs!J16</f>
        <v>0.03</v>
      </c>
      <c r="D24" s="698">
        <f>Op_Costs!D16</f>
        <v>0</v>
      </c>
      <c r="E24" s="698">
        <f>Op_Costs!E16</f>
        <v>0</v>
      </c>
      <c r="F24" s="698">
        <f>Op_Costs!F16</f>
        <v>0</v>
      </c>
      <c r="G24" s="297">
        <f>Op_Costs!G16</f>
        <v>0</v>
      </c>
      <c r="H24" s="431">
        <f>G24*(1+$C24)</f>
        <v>0</v>
      </c>
      <c r="I24" s="431">
        <f t="shared" si="11"/>
        <v>0</v>
      </c>
      <c r="J24" s="431">
        <f t="shared" si="11"/>
        <v>0</v>
      </c>
      <c r="K24" s="431">
        <f t="shared" si="11"/>
        <v>0</v>
      </c>
      <c r="L24" s="431">
        <f t="shared" si="11"/>
        <v>0</v>
      </c>
      <c r="M24" s="431">
        <f t="shared" si="11"/>
        <v>0</v>
      </c>
      <c r="N24" s="431">
        <f t="shared" si="11"/>
        <v>0</v>
      </c>
      <c r="O24" s="431">
        <f t="shared" si="11"/>
        <v>0</v>
      </c>
      <c r="P24" s="431">
        <f t="shared" si="11"/>
        <v>0</v>
      </c>
      <c r="Q24" s="431">
        <f t="shared" si="11"/>
        <v>0</v>
      </c>
      <c r="R24" s="431">
        <f t="shared" si="11"/>
        <v>0</v>
      </c>
      <c r="S24" s="431">
        <f t="shared" si="11"/>
        <v>0</v>
      </c>
      <c r="T24" s="431">
        <f t="shared" si="11"/>
        <v>0</v>
      </c>
      <c r="U24" s="431">
        <f t="shared" si="11"/>
        <v>0</v>
      </c>
      <c r="V24" s="431">
        <f t="shared" si="11"/>
        <v>0</v>
      </c>
      <c r="W24" s="431">
        <f t="shared" si="11"/>
        <v>0</v>
      </c>
      <c r="X24" s="431">
        <f t="shared" si="11"/>
        <v>0</v>
      </c>
      <c r="Y24" s="431">
        <f t="shared" si="11"/>
        <v>0</v>
      </c>
      <c r="Z24" s="431">
        <f t="shared" si="11"/>
        <v>0</v>
      </c>
      <c r="AA24" s="431">
        <f t="shared" si="11"/>
        <v>0</v>
      </c>
      <c r="AB24" s="431">
        <f t="shared" si="11"/>
        <v>0</v>
      </c>
      <c r="AC24" s="431">
        <f t="shared" si="11"/>
        <v>0</v>
      </c>
      <c r="AD24" s="431">
        <f t="shared" si="11"/>
        <v>0</v>
      </c>
      <c r="AE24" s="431">
        <f t="shared" si="11"/>
        <v>0</v>
      </c>
      <c r="AF24" s="431">
        <f t="shared" si="11"/>
        <v>0</v>
      </c>
      <c r="AG24" s="431">
        <f t="shared" si="11"/>
        <v>0</v>
      </c>
      <c r="AH24" s="431">
        <f t="shared" si="11"/>
        <v>0</v>
      </c>
      <c r="AI24" s="431">
        <f t="shared" si="11"/>
        <v>0</v>
      </c>
      <c r="AJ24" s="431">
        <f t="shared" si="11"/>
        <v>0</v>
      </c>
      <c r="AK24" s="431">
        <f t="shared" si="11"/>
        <v>0</v>
      </c>
      <c r="AL24" s="431">
        <f t="shared" si="11"/>
        <v>0</v>
      </c>
      <c r="AM24" s="431">
        <f t="shared" si="11"/>
        <v>0</v>
      </c>
      <c r="AN24" s="431">
        <f t="shared" si="11"/>
        <v>0</v>
      </c>
      <c r="AO24" s="431">
        <f t="shared" si="11"/>
        <v>0</v>
      </c>
      <c r="AP24" s="431">
        <f t="shared" si="11"/>
        <v>0</v>
      </c>
      <c r="AQ24" s="431">
        <f t="shared" si="11"/>
        <v>0</v>
      </c>
      <c r="AR24" s="431">
        <f t="shared" si="11"/>
        <v>0</v>
      </c>
      <c r="AS24" s="431">
        <f t="shared" si="11"/>
        <v>0</v>
      </c>
      <c r="AT24" s="431">
        <f t="shared" si="11"/>
        <v>0</v>
      </c>
      <c r="AU24" s="431"/>
      <c r="AV24" s="431"/>
      <c r="AW24" s="431"/>
      <c r="AX24" s="431"/>
      <c r="AY24" s="431"/>
      <c r="AZ24" s="431"/>
      <c r="BA24" s="431"/>
      <c r="BB24" s="432"/>
      <c r="BC24" s="432"/>
      <c r="BD24" s="432"/>
      <c r="BE24" s="432"/>
      <c r="BF24" s="432"/>
      <c r="BG24" s="432"/>
      <c r="BH24" s="432"/>
      <c r="BI24" s="432"/>
      <c r="BJ24" s="432"/>
      <c r="BK24" s="432"/>
      <c r="BL24" s="432"/>
      <c r="BM24" s="432"/>
      <c r="BN24" s="432"/>
      <c r="BO24" s="432"/>
      <c r="BP24" s="432"/>
      <c r="BQ24" s="432"/>
      <c r="BR24" s="432"/>
      <c r="BS24" s="432"/>
      <c r="BT24" s="432"/>
      <c r="BU24" s="432"/>
      <c r="BV24" s="432"/>
      <c r="BW24" s="432"/>
      <c r="BX24" s="432"/>
      <c r="BY24" s="432"/>
      <c r="BZ24" s="432"/>
      <c r="CA24" s="432"/>
      <c r="CB24" s="432"/>
      <c r="CC24" s="432"/>
      <c r="CD24" s="432"/>
      <c r="CE24" s="432"/>
      <c r="CF24" s="432"/>
      <c r="CG24" s="432"/>
      <c r="CH24" s="432"/>
      <c r="CI24" s="432"/>
      <c r="CJ24" s="432"/>
      <c r="CK24" s="432"/>
      <c r="CL24" s="432"/>
      <c r="CM24" s="432"/>
      <c r="CN24" s="432"/>
      <c r="CO24" s="432"/>
      <c r="CP24" s="432"/>
      <c r="CQ24" s="432"/>
      <c r="CR24" s="432"/>
      <c r="CS24" s="432"/>
      <c r="CT24" s="432"/>
      <c r="CU24" s="432"/>
      <c r="CV24" s="432"/>
      <c r="CW24" s="432"/>
      <c r="CX24" s="432"/>
      <c r="CY24" s="432"/>
      <c r="CZ24" s="432"/>
      <c r="DA24" s="432"/>
      <c r="DB24" s="432"/>
      <c r="DC24" s="432"/>
      <c r="DD24" s="432"/>
      <c r="DE24" s="432"/>
      <c r="DF24" s="432"/>
      <c r="DG24" s="432"/>
      <c r="DH24" s="432"/>
      <c r="DI24" s="432"/>
      <c r="DJ24" s="432"/>
      <c r="DK24" s="432"/>
      <c r="DL24" s="432"/>
      <c r="DM24" s="432"/>
      <c r="DN24" s="432"/>
      <c r="DO24" s="432"/>
      <c r="DP24" s="432"/>
      <c r="DQ24" s="432"/>
      <c r="DR24" s="432"/>
      <c r="DS24" s="432"/>
      <c r="DT24" s="432"/>
      <c r="DU24" s="432"/>
      <c r="DV24" s="432"/>
      <c r="DW24" s="432"/>
      <c r="DX24" s="432"/>
      <c r="DY24" s="432"/>
      <c r="DZ24" s="432"/>
      <c r="EA24" s="432"/>
      <c r="EB24" s="432"/>
      <c r="EC24" s="432"/>
      <c r="ED24" s="432"/>
      <c r="EE24" s="432"/>
      <c r="EF24" s="432"/>
      <c r="EG24" s="432"/>
      <c r="EH24" s="432"/>
      <c r="EI24" s="432"/>
      <c r="EJ24" s="432"/>
      <c r="EK24" s="432"/>
      <c r="EL24" s="432"/>
      <c r="EM24" s="432"/>
      <c r="EN24" s="432"/>
      <c r="EO24" s="432"/>
      <c r="EP24" s="432"/>
      <c r="EQ24" s="432"/>
      <c r="ER24" s="432"/>
      <c r="ES24" s="432"/>
      <c r="ET24" s="432"/>
      <c r="EU24" s="432"/>
      <c r="EV24" s="432"/>
      <c r="EW24" s="432"/>
      <c r="EX24" s="432"/>
      <c r="EY24" s="432"/>
      <c r="EZ24" s="432"/>
      <c r="FA24" s="432"/>
      <c r="FB24" s="432"/>
      <c r="FC24" s="432"/>
      <c r="FD24" s="432"/>
      <c r="FE24" s="432"/>
      <c r="FF24" s="432"/>
      <c r="FG24" s="432"/>
      <c r="FH24" s="432"/>
      <c r="FI24" s="432"/>
    </row>
    <row r="25" spans="1:165" s="432" customFormat="1" hidden="1">
      <c r="A25" s="444" t="str">
        <f>Op_Costs!C17</f>
        <v>Other Management</v>
      </c>
      <c r="B25" s="431" t="str">
        <f>IF(Deal_Overview!$V$17&gt;0,G25/Deal_Overview!$V$17,"")</f>
        <v/>
      </c>
      <c r="C25" s="445">
        <f>Op_Costs!J17</f>
        <v>0.03</v>
      </c>
      <c r="D25" s="698">
        <f>Op_Costs!D17</f>
        <v>0</v>
      </c>
      <c r="E25" s="698">
        <f>Op_Costs!E17</f>
        <v>0</v>
      </c>
      <c r="F25" s="698">
        <f>Op_Costs!F17</f>
        <v>0</v>
      </c>
      <c r="G25" s="297">
        <f>Op_Costs!G17</f>
        <v>0</v>
      </c>
      <c r="H25" s="431">
        <f>G25*(1+$C25)</f>
        <v>0</v>
      </c>
      <c r="I25" s="431">
        <f t="shared" si="11"/>
        <v>0</v>
      </c>
      <c r="J25" s="431">
        <f t="shared" si="11"/>
        <v>0</v>
      </c>
      <c r="K25" s="431">
        <f t="shared" si="11"/>
        <v>0</v>
      </c>
      <c r="L25" s="431">
        <f t="shared" si="11"/>
        <v>0</v>
      </c>
      <c r="M25" s="431">
        <f t="shared" si="11"/>
        <v>0</v>
      </c>
      <c r="N25" s="431">
        <f t="shared" si="11"/>
        <v>0</v>
      </c>
      <c r="O25" s="431">
        <f t="shared" si="11"/>
        <v>0</v>
      </c>
      <c r="P25" s="431">
        <f t="shared" si="11"/>
        <v>0</v>
      </c>
      <c r="Q25" s="431">
        <f t="shared" si="11"/>
        <v>0</v>
      </c>
      <c r="R25" s="431">
        <f t="shared" si="11"/>
        <v>0</v>
      </c>
      <c r="S25" s="431">
        <f t="shared" si="11"/>
        <v>0</v>
      </c>
      <c r="T25" s="431">
        <f t="shared" si="11"/>
        <v>0</v>
      </c>
      <c r="U25" s="431">
        <f t="shared" si="11"/>
        <v>0</v>
      </c>
      <c r="V25" s="431">
        <f t="shared" si="11"/>
        <v>0</v>
      </c>
      <c r="W25" s="431">
        <f t="shared" si="11"/>
        <v>0</v>
      </c>
      <c r="X25" s="431">
        <f t="shared" si="11"/>
        <v>0</v>
      </c>
      <c r="Y25" s="431">
        <f t="shared" si="11"/>
        <v>0</v>
      </c>
      <c r="Z25" s="431">
        <f t="shared" si="11"/>
        <v>0</v>
      </c>
      <c r="AA25" s="431">
        <f t="shared" si="11"/>
        <v>0</v>
      </c>
      <c r="AB25" s="431">
        <f t="shared" si="11"/>
        <v>0</v>
      </c>
      <c r="AC25" s="431">
        <f t="shared" si="11"/>
        <v>0</v>
      </c>
      <c r="AD25" s="431">
        <f t="shared" si="11"/>
        <v>0</v>
      </c>
      <c r="AE25" s="431">
        <f t="shared" si="11"/>
        <v>0</v>
      </c>
      <c r="AF25" s="431">
        <f t="shared" si="11"/>
        <v>0</v>
      </c>
      <c r="AG25" s="431">
        <f t="shared" si="11"/>
        <v>0</v>
      </c>
      <c r="AH25" s="431">
        <f t="shared" si="11"/>
        <v>0</v>
      </c>
      <c r="AI25" s="431">
        <f t="shared" si="11"/>
        <v>0</v>
      </c>
      <c r="AJ25" s="431">
        <f t="shared" si="11"/>
        <v>0</v>
      </c>
      <c r="AK25" s="431">
        <f t="shared" si="11"/>
        <v>0</v>
      </c>
      <c r="AL25" s="431">
        <f t="shared" si="11"/>
        <v>0</v>
      </c>
      <c r="AM25" s="431">
        <f t="shared" si="11"/>
        <v>0</v>
      </c>
      <c r="AN25" s="431">
        <f t="shared" si="11"/>
        <v>0</v>
      </c>
      <c r="AO25" s="431">
        <f t="shared" si="11"/>
        <v>0</v>
      </c>
      <c r="AP25" s="431">
        <f t="shared" si="11"/>
        <v>0</v>
      </c>
      <c r="AQ25" s="431">
        <f t="shared" si="11"/>
        <v>0</v>
      </c>
      <c r="AR25" s="431">
        <f t="shared" si="11"/>
        <v>0</v>
      </c>
      <c r="AS25" s="431">
        <f t="shared" si="11"/>
        <v>0</v>
      </c>
      <c r="AT25" s="431">
        <f t="shared" si="11"/>
        <v>0</v>
      </c>
      <c r="AU25" s="431"/>
      <c r="AV25" s="431"/>
      <c r="AW25" s="431"/>
      <c r="AX25" s="431"/>
      <c r="AY25" s="431"/>
      <c r="AZ25" s="431"/>
      <c r="BA25" s="431"/>
    </row>
    <row r="26" spans="1:165" s="450" customFormat="1">
      <c r="A26" s="447" t="str">
        <f>Op_Costs!B18</f>
        <v>Management Fee Subtotal</v>
      </c>
      <c r="B26" s="448" t="str">
        <f>IF(Deal_Overview!$V$17&gt;0,G26/Deal_Overview!$V$17,"")</f>
        <v/>
      </c>
      <c r="C26" s="449"/>
      <c r="D26" s="699">
        <f t="shared" ref="D26:AT26" si="12">SUM(D22:D25)</f>
        <v>0</v>
      </c>
      <c r="E26" s="699">
        <f t="shared" si="12"/>
        <v>0</v>
      </c>
      <c r="F26" s="699">
        <f t="shared" si="12"/>
        <v>0</v>
      </c>
      <c r="G26" s="448">
        <f t="shared" si="12"/>
        <v>0</v>
      </c>
      <c r="H26" s="448">
        <f t="shared" si="12"/>
        <v>0</v>
      </c>
      <c r="I26" s="448">
        <f t="shared" si="12"/>
        <v>0</v>
      </c>
      <c r="J26" s="448">
        <f t="shared" si="12"/>
        <v>0</v>
      </c>
      <c r="K26" s="448">
        <f t="shared" si="12"/>
        <v>0</v>
      </c>
      <c r="L26" s="448">
        <f t="shared" si="12"/>
        <v>0</v>
      </c>
      <c r="M26" s="448">
        <f t="shared" si="12"/>
        <v>0</v>
      </c>
      <c r="N26" s="448">
        <f t="shared" si="12"/>
        <v>0</v>
      </c>
      <c r="O26" s="448">
        <f t="shared" si="12"/>
        <v>0</v>
      </c>
      <c r="P26" s="448">
        <f t="shared" si="12"/>
        <v>0</v>
      </c>
      <c r="Q26" s="448">
        <f t="shared" si="12"/>
        <v>0</v>
      </c>
      <c r="R26" s="448">
        <f t="shared" si="12"/>
        <v>0</v>
      </c>
      <c r="S26" s="448">
        <f t="shared" si="12"/>
        <v>0</v>
      </c>
      <c r="T26" s="448">
        <f t="shared" si="12"/>
        <v>0</v>
      </c>
      <c r="U26" s="448">
        <f t="shared" si="12"/>
        <v>0</v>
      </c>
      <c r="V26" s="448">
        <f t="shared" si="12"/>
        <v>0</v>
      </c>
      <c r="W26" s="448">
        <f t="shared" si="12"/>
        <v>0</v>
      </c>
      <c r="X26" s="448">
        <f t="shared" si="12"/>
        <v>0</v>
      </c>
      <c r="Y26" s="448">
        <f t="shared" si="12"/>
        <v>0</v>
      </c>
      <c r="Z26" s="448">
        <f t="shared" si="12"/>
        <v>0</v>
      </c>
      <c r="AA26" s="448">
        <f t="shared" si="12"/>
        <v>0</v>
      </c>
      <c r="AB26" s="448">
        <f t="shared" si="12"/>
        <v>0</v>
      </c>
      <c r="AC26" s="448">
        <f t="shared" si="12"/>
        <v>0</v>
      </c>
      <c r="AD26" s="448">
        <f t="shared" si="12"/>
        <v>0</v>
      </c>
      <c r="AE26" s="448">
        <f t="shared" si="12"/>
        <v>0</v>
      </c>
      <c r="AF26" s="448">
        <f t="shared" si="12"/>
        <v>0</v>
      </c>
      <c r="AG26" s="448">
        <f t="shared" si="12"/>
        <v>0</v>
      </c>
      <c r="AH26" s="448">
        <f t="shared" si="12"/>
        <v>0</v>
      </c>
      <c r="AI26" s="448">
        <f t="shared" si="12"/>
        <v>0</v>
      </c>
      <c r="AJ26" s="448">
        <f t="shared" si="12"/>
        <v>0</v>
      </c>
      <c r="AK26" s="448">
        <f t="shared" si="12"/>
        <v>0</v>
      </c>
      <c r="AL26" s="448">
        <f t="shared" si="12"/>
        <v>0</v>
      </c>
      <c r="AM26" s="448">
        <f t="shared" si="12"/>
        <v>0</v>
      </c>
      <c r="AN26" s="448">
        <f t="shared" si="12"/>
        <v>0</v>
      </c>
      <c r="AO26" s="448">
        <f t="shared" si="12"/>
        <v>0</v>
      </c>
      <c r="AP26" s="448">
        <f t="shared" si="12"/>
        <v>0</v>
      </c>
      <c r="AQ26" s="448">
        <f t="shared" si="12"/>
        <v>0</v>
      </c>
      <c r="AR26" s="448">
        <f t="shared" si="12"/>
        <v>0</v>
      </c>
      <c r="AS26" s="448">
        <f t="shared" si="12"/>
        <v>0</v>
      </c>
      <c r="AT26" s="448">
        <f t="shared" si="12"/>
        <v>0</v>
      </c>
      <c r="AU26" s="448"/>
      <c r="AV26" s="448"/>
      <c r="AW26" s="448"/>
      <c r="AX26" s="448"/>
      <c r="AY26" s="448"/>
      <c r="AZ26" s="448"/>
      <c r="BA26" s="448"/>
    </row>
    <row r="27" spans="1:165" s="298" customFormat="1" hidden="1">
      <c r="A27" s="429" t="str">
        <f>Op_Costs!C19</f>
        <v>Administrative</v>
      </c>
      <c r="B27" s="297" t="str">
        <f>IF(Deal_Overview!$V$17&gt;0,G27/Deal_Overview!$V$17,"")</f>
        <v/>
      </c>
      <c r="C27" s="430">
        <f>Op_Costs!J19</f>
        <v>0.03</v>
      </c>
      <c r="D27" s="698">
        <f>Op_Costs!D19</f>
        <v>0</v>
      </c>
      <c r="E27" s="698">
        <f>Op_Costs!E19</f>
        <v>0</v>
      </c>
      <c r="F27" s="698">
        <f>Op_Costs!F19</f>
        <v>0</v>
      </c>
      <c r="G27" s="297">
        <f>Op_Costs!G19</f>
        <v>0</v>
      </c>
      <c r="H27" s="431">
        <f>G27*(1+$C27)</f>
        <v>0</v>
      </c>
      <c r="I27" s="431">
        <f t="shared" ref="I27:AT31" si="13">H27*(1+$C27)</f>
        <v>0</v>
      </c>
      <c r="J27" s="431">
        <f t="shared" si="13"/>
        <v>0</v>
      </c>
      <c r="K27" s="431">
        <f t="shared" si="13"/>
        <v>0</v>
      </c>
      <c r="L27" s="431">
        <f t="shared" si="13"/>
        <v>0</v>
      </c>
      <c r="M27" s="431">
        <f t="shared" si="13"/>
        <v>0</v>
      </c>
      <c r="N27" s="431">
        <f t="shared" si="13"/>
        <v>0</v>
      </c>
      <c r="O27" s="431">
        <f t="shared" si="13"/>
        <v>0</v>
      </c>
      <c r="P27" s="431">
        <f t="shared" si="13"/>
        <v>0</v>
      </c>
      <c r="Q27" s="431">
        <f t="shared" si="13"/>
        <v>0</v>
      </c>
      <c r="R27" s="431">
        <f t="shared" si="13"/>
        <v>0</v>
      </c>
      <c r="S27" s="431">
        <f t="shared" si="13"/>
        <v>0</v>
      </c>
      <c r="T27" s="431">
        <f t="shared" si="13"/>
        <v>0</v>
      </c>
      <c r="U27" s="431">
        <f t="shared" si="13"/>
        <v>0</v>
      </c>
      <c r="V27" s="431">
        <f t="shared" si="13"/>
        <v>0</v>
      </c>
      <c r="W27" s="431">
        <f t="shared" si="13"/>
        <v>0</v>
      </c>
      <c r="X27" s="431">
        <f t="shared" si="13"/>
        <v>0</v>
      </c>
      <c r="Y27" s="431">
        <f t="shared" si="13"/>
        <v>0</v>
      </c>
      <c r="Z27" s="431">
        <f t="shared" si="13"/>
        <v>0</v>
      </c>
      <c r="AA27" s="431">
        <f t="shared" si="13"/>
        <v>0</v>
      </c>
      <c r="AB27" s="431">
        <f t="shared" si="13"/>
        <v>0</v>
      </c>
      <c r="AC27" s="431">
        <f t="shared" si="13"/>
        <v>0</v>
      </c>
      <c r="AD27" s="431">
        <f t="shared" si="13"/>
        <v>0</v>
      </c>
      <c r="AE27" s="431">
        <f t="shared" si="13"/>
        <v>0</v>
      </c>
      <c r="AF27" s="431">
        <f t="shared" si="13"/>
        <v>0</v>
      </c>
      <c r="AG27" s="431">
        <f t="shared" si="13"/>
        <v>0</v>
      </c>
      <c r="AH27" s="431">
        <f t="shared" si="13"/>
        <v>0</v>
      </c>
      <c r="AI27" s="431">
        <f t="shared" si="13"/>
        <v>0</v>
      </c>
      <c r="AJ27" s="431">
        <f t="shared" si="13"/>
        <v>0</v>
      </c>
      <c r="AK27" s="431">
        <f t="shared" si="13"/>
        <v>0</v>
      </c>
      <c r="AL27" s="431">
        <f t="shared" si="13"/>
        <v>0</v>
      </c>
      <c r="AM27" s="431">
        <f t="shared" si="13"/>
        <v>0</v>
      </c>
      <c r="AN27" s="431">
        <f t="shared" si="13"/>
        <v>0</v>
      </c>
      <c r="AO27" s="431">
        <f t="shared" si="13"/>
        <v>0</v>
      </c>
      <c r="AP27" s="431">
        <f t="shared" si="13"/>
        <v>0</v>
      </c>
      <c r="AQ27" s="431">
        <f t="shared" si="13"/>
        <v>0</v>
      </c>
      <c r="AR27" s="431">
        <f t="shared" si="13"/>
        <v>0</v>
      </c>
      <c r="AS27" s="431">
        <f t="shared" si="13"/>
        <v>0</v>
      </c>
      <c r="AT27" s="431">
        <f t="shared" si="13"/>
        <v>0</v>
      </c>
      <c r="AU27" s="431"/>
      <c r="AV27" s="431"/>
      <c r="AW27" s="431"/>
      <c r="AX27" s="431"/>
      <c r="AY27" s="431"/>
      <c r="AZ27" s="431"/>
      <c r="BA27" s="431"/>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c r="CO27" s="432"/>
      <c r="CP27" s="432"/>
      <c r="CQ27" s="432"/>
      <c r="CR27" s="432"/>
      <c r="CS27" s="432"/>
      <c r="CT27" s="432"/>
      <c r="CU27" s="432"/>
      <c r="CV27" s="432"/>
      <c r="CW27" s="432"/>
      <c r="CX27" s="432"/>
      <c r="CY27" s="432"/>
      <c r="CZ27" s="432"/>
      <c r="DA27" s="432"/>
      <c r="DB27" s="432"/>
      <c r="DC27" s="432"/>
      <c r="DD27" s="432"/>
      <c r="DE27" s="432"/>
      <c r="DF27" s="432"/>
      <c r="DG27" s="432"/>
      <c r="DH27" s="432"/>
      <c r="DI27" s="432"/>
      <c r="DJ27" s="432"/>
      <c r="DK27" s="432"/>
      <c r="DL27" s="432"/>
      <c r="DM27" s="432"/>
      <c r="DN27" s="432"/>
      <c r="DO27" s="432"/>
      <c r="DP27" s="432"/>
      <c r="DQ27" s="432"/>
      <c r="DR27" s="432"/>
      <c r="DS27" s="432"/>
      <c r="DT27" s="432"/>
      <c r="DU27" s="432"/>
      <c r="DV27" s="432"/>
      <c r="DW27" s="432"/>
      <c r="DX27" s="432"/>
      <c r="DY27" s="432"/>
      <c r="DZ27" s="432"/>
      <c r="EA27" s="432"/>
      <c r="EB27" s="432"/>
      <c r="EC27" s="432"/>
      <c r="ED27" s="432"/>
      <c r="EE27" s="432"/>
      <c r="EF27" s="432"/>
      <c r="EG27" s="432"/>
      <c r="EH27" s="432"/>
      <c r="EI27" s="432"/>
      <c r="EJ27" s="432"/>
      <c r="EK27" s="432"/>
      <c r="EL27" s="432"/>
      <c r="EM27" s="432"/>
      <c r="EN27" s="432"/>
      <c r="EO27" s="432"/>
      <c r="EP27" s="432"/>
      <c r="EQ27" s="432"/>
      <c r="ER27" s="432"/>
      <c r="ES27" s="432"/>
      <c r="ET27" s="432"/>
      <c r="EU27" s="432"/>
      <c r="EV27" s="432"/>
      <c r="EW27" s="432"/>
      <c r="EX27" s="432"/>
      <c r="EY27" s="432"/>
      <c r="EZ27" s="432"/>
      <c r="FA27" s="432"/>
      <c r="FB27" s="432"/>
      <c r="FC27" s="432"/>
      <c r="FD27" s="432"/>
      <c r="FE27" s="432"/>
      <c r="FF27" s="432"/>
      <c r="FG27" s="432"/>
      <c r="FH27" s="432"/>
      <c r="FI27" s="432"/>
    </row>
    <row r="28" spans="1:165" s="298" customFormat="1" hidden="1">
      <c r="A28" s="429" t="str">
        <f>Op_Costs!C20</f>
        <v>Operating</v>
      </c>
      <c r="B28" s="297" t="str">
        <f>IF(Deal_Overview!$V$17&gt;0,G28/Deal_Overview!$V$17,"")</f>
        <v/>
      </c>
      <c r="C28" s="430">
        <f>Op_Costs!J20</f>
        <v>0.03</v>
      </c>
      <c r="D28" s="698">
        <f>Op_Costs!D20</f>
        <v>0</v>
      </c>
      <c r="E28" s="698">
        <f>Op_Costs!E20</f>
        <v>0</v>
      </c>
      <c r="F28" s="698">
        <f>Op_Costs!F20</f>
        <v>0</v>
      </c>
      <c r="G28" s="297">
        <f>Op_Costs!G20</f>
        <v>0</v>
      </c>
      <c r="H28" s="431">
        <f>G28*(1+$C28)</f>
        <v>0</v>
      </c>
      <c r="I28" s="431">
        <f t="shared" si="13"/>
        <v>0</v>
      </c>
      <c r="J28" s="431">
        <f t="shared" si="13"/>
        <v>0</v>
      </c>
      <c r="K28" s="431">
        <f t="shared" si="13"/>
        <v>0</v>
      </c>
      <c r="L28" s="431">
        <f t="shared" si="13"/>
        <v>0</v>
      </c>
      <c r="M28" s="431">
        <f t="shared" si="13"/>
        <v>0</v>
      </c>
      <c r="N28" s="431">
        <f t="shared" si="13"/>
        <v>0</v>
      </c>
      <c r="O28" s="431">
        <f t="shared" si="13"/>
        <v>0</v>
      </c>
      <c r="P28" s="431">
        <f t="shared" si="13"/>
        <v>0</v>
      </c>
      <c r="Q28" s="431">
        <f t="shared" si="13"/>
        <v>0</v>
      </c>
      <c r="R28" s="431">
        <f t="shared" si="13"/>
        <v>0</v>
      </c>
      <c r="S28" s="431">
        <f t="shared" si="13"/>
        <v>0</v>
      </c>
      <c r="T28" s="431">
        <f t="shared" si="13"/>
        <v>0</v>
      </c>
      <c r="U28" s="431">
        <f t="shared" si="13"/>
        <v>0</v>
      </c>
      <c r="V28" s="431">
        <f t="shared" si="13"/>
        <v>0</v>
      </c>
      <c r="W28" s="431">
        <f t="shared" si="13"/>
        <v>0</v>
      </c>
      <c r="X28" s="431">
        <f t="shared" si="13"/>
        <v>0</v>
      </c>
      <c r="Y28" s="431">
        <f t="shared" si="13"/>
        <v>0</v>
      </c>
      <c r="Z28" s="431">
        <f t="shared" si="13"/>
        <v>0</v>
      </c>
      <c r="AA28" s="431">
        <f t="shared" si="13"/>
        <v>0</v>
      </c>
      <c r="AB28" s="431">
        <f t="shared" si="13"/>
        <v>0</v>
      </c>
      <c r="AC28" s="431">
        <f t="shared" si="13"/>
        <v>0</v>
      </c>
      <c r="AD28" s="431">
        <f t="shared" si="13"/>
        <v>0</v>
      </c>
      <c r="AE28" s="431">
        <f t="shared" si="13"/>
        <v>0</v>
      </c>
      <c r="AF28" s="431">
        <f t="shared" si="13"/>
        <v>0</v>
      </c>
      <c r="AG28" s="431">
        <f t="shared" si="13"/>
        <v>0</v>
      </c>
      <c r="AH28" s="431">
        <f t="shared" si="13"/>
        <v>0</v>
      </c>
      <c r="AI28" s="431">
        <f t="shared" si="13"/>
        <v>0</v>
      </c>
      <c r="AJ28" s="431">
        <f t="shared" si="13"/>
        <v>0</v>
      </c>
      <c r="AK28" s="431">
        <f t="shared" si="13"/>
        <v>0</v>
      </c>
      <c r="AL28" s="431">
        <f t="shared" si="13"/>
        <v>0</v>
      </c>
      <c r="AM28" s="431">
        <f t="shared" si="13"/>
        <v>0</v>
      </c>
      <c r="AN28" s="431">
        <f t="shared" si="13"/>
        <v>0</v>
      </c>
      <c r="AO28" s="431">
        <f t="shared" si="13"/>
        <v>0</v>
      </c>
      <c r="AP28" s="431">
        <f t="shared" si="13"/>
        <v>0</v>
      </c>
      <c r="AQ28" s="431">
        <f t="shared" si="13"/>
        <v>0</v>
      </c>
      <c r="AR28" s="431">
        <f t="shared" si="13"/>
        <v>0</v>
      </c>
      <c r="AS28" s="431">
        <f t="shared" si="13"/>
        <v>0</v>
      </c>
      <c r="AT28" s="431">
        <f t="shared" si="13"/>
        <v>0</v>
      </c>
      <c r="AU28" s="431"/>
      <c r="AV28" s="431"/>
      <c r="AW28" s="431"/>
      <c r="AX28" s="431"/>
      <c r="AY28" s="431"/>
      <c r="AZ28" s="431"/>
      <c r="BA28" s="431"/>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c r="CO28" s="432"/>
      <c r="CP28" s="432"/>
      <c r="CQ28" s="432"/>
      <c r="CR28" s="432"/>
      <c r="CS28" s="432"/>
      <c r="CT28" s="432"/>
      <c r="CU28" s="432"/>
      <c r="CV28" s="432"/>
      <c r="CW28" s="432"/>
      <c r="CX28" s="432"/>
      <c r="CY28" s="432"/>
      <c r="CZ28" s="432"/>
      <c r="DA28" s="432"/>
      <c r="DB28" s="432"/>
      <c r="DC28" s="432"/>
      <c r="DD28" s="432"/>
      <c r="DE28" s="432"/>
      <c r="DF28" s="432"/>
      <c r="DG28" s="432"/>
      <c r="DH28" s="432"/>
      <c r="DI28" s="432"/>
      <c r="DJ28" s="432"/>
      <c r="DK28" s="432"/>
      <c r="DL28" s="432"/>
      <c r="DM28" s="432"/>
      <c r="DN28" s="432"/>
      <c r="DO28" s="432"/>
      <c r="DP28" s="432"/>
      <c r="DQ28" s="432"/>
      <c r="DR28" s="432"/>
      <c r="DS28" s="432"/>
      <c r="DT28" s="432"/>
      <c r="DU28" s="432"/>
      <c r="DV28" s="432"/>
      <c r="DW28" s="432"/>
      <c r="DX28" s="432"/>
      <c r="DY28" s="432"/>
      <c r="DZ28" s="432"/>
      <c r="EA28" s="432"/>
      <c r="EB28" s="432"/>
      <c r="EC28" s="432"/>
      <c r="ED28" s="432"/>
      <c r="EE28" s="432"/>
      <c r="EF28" s="432"/>
      <c r="EG28" s="432"/>
      <c r="EH28" s="432"/>
      <c r="EI28" s="432"/>
      <c r="EJ28" s="432"/>
      <c r="EK28" s="432"/>
      <c r="EL28" s="432"/>
      <c r="EM28" s="432"/>
      <c r="EN28" s="432"/>
      <c r="EO28" s="432"/>
      <c r="EP28" s="432"/>
      <c r="EQ28" s="432"/>
      <c r="ER28" s="432"/>
      <c r="ES28" s="432"/>
      <c r="ET28" s="432"/>
      <c r="EU28" s="432"/>
      <c r="EV28" s="432"/>
      <c r="EW28" s="432"/>
      <c r="EX28" s="432"/>
      <c r="EY28" s="432"/>
      <c r="EZ28" s="432"/>
      <c r="FA28" s="432"/>
      <c r="FB28" s="432"/>
      <c r="FC28" s="432"/>
      <c r="FD28" s="432"/>
      <c r="FE28" s="432"/>
      <c r="FF28" s="432"/>
      <c r="FG28" s="432"/>
      <c r="FH28" s="432"/>
      <c r="FI28" s="432"/>
    </row>
    <row r="29" spans="1:165" s="298" customFormat="1" hidden="1">
      <c r="A29" s="429" t="str">
        <f>Op_Costs!C21</f>
        <v>Maintenance</v>
      </c>
      <c r="B29" s="297" t="str">
        <f>IF(Deal_Overview!$V$17&gt;0,G29/Deal_Overview!$V$17,"")</f>
        <v/>
      </c>
      <c r="C29" s="430">
        <f>Op_Costs!J21</f>
        <v>0.03</v>
      </c>
      <c r="D29" s="698">
        <f>Op_Costs!D21</f>
        <v>0</v>
      </c>
      <c r="E29" s="698">
        <f>Op_Costs!E21</f>
        <v>0</v>
      </c>
      <c r="F29" s="698">
        <f>Op_Costs!F21</f>
        <v>0</v>
      </c>
      <c r="G29" s="297">
        <f>Op_Costs!G21</f>
        <v>0</v>
      </c>
      <c r="H29" s="431">
        <f>G29*(1+$C29)</f>
        <v>0</v>
      </c>
      <c r="I29" s="431">
        <f t="shared" si="13"/>
        <v>0</v>
      </c>
      <c r="J29" s="431">
        <f t="shared" si="13"/>
        <v>0</v>
      </c>
      <c r="K29" s="431">
        <f t="shared" si="13"/>
        <v>0</v>
      </c>
      <c r="L29" s="431">
        <f t="shared" si="13"/>
        <v>0</v>
      </c>
      <c r="M29" s="431">
        <f t="shared" si="13"/>
        <v>0</v>
      </c>
      <c r="N29" s="431">
        <f t="shared" si="13"/>
        <v>0</v>
      </c>
      <c r="O29" s="431">
        <f t="shared" si="13"/>
        <v>0</v>
      </c>
      <c r="P29" s="431">
        <f t="shared" si="13"/>
        <v>0</v>
      </c>
      <c r="Q29" s="431">
        <f t="shared" si="13"/>
        <v>0</v>
      </c>
      <c r="R29" s="431">
        <f t="shared" si="13"/>
        <v>0</v>
      </c>
      <c r="S29" s="431">
        <f t="shared" si="13"/>
        <v>0</v>
      </c>
      <c r="T29" s="431">
        <f t="shared" si="13"/>
        <v>0</v>
      </c>
      <c r="U29" s="431">
        <f t="shared" si="13"/>
        <v>0</v>
      </c>
      <c r="V29" s="431">
        <f t="shared" si="13"/>
        <v>0</v>
      </c>
      <c r="W29" s="431">
        <f t="shared" si="13"/>
        <v>0</v>
      </c>
      <c r="X29" s="431">
        <f t="shared" si="13"/>
        <v>0</v>
      </c>
      <c r="Y29" s="431">
        <f t="shared" si="13"/>
        <v>0</v>
      </c>
      <c r="Z29" s="431">
        <f t="shared" si="13"/>
        <v>0</v>
      </c>
      <c r="AA29" s="431">
        <f t="shared" si="13"/>
        <v>0</v>
      </c>
      <c r="AB29" s="431">
        <f t="shared" si="13"/>
        <v>0</v>
      </c>
      <c r="AC29" s="431">
        <f t="shared" si="13"/>
        <v>0</v>
      </c>
      <c r="AD29" s="431">
        <f t="shared" si="13"/>
        <v>0</v>
      </c>
      <c r="AE29" s="431">
        <f t="shared" si="13"/>
        <v>0</v>
      </c>
      <c r="AF29" s="431">
        <f t="shared" si="13"/>
        <v>0</v>
      </c>
      <c r="AG29" s="431">
        <f t="shared" si="13"/>
        <v>0</v>
      </c>
      <c r="AH29" s="431">
        <f t="shared" si="13"/>
        <v>0</v>
      </c>
      <c r="AI29" s="431">
        <f t="shared" si="13"/>
        <v>0</v>
      </c>
      <c r="AJ29" s="431">
        <f t="shared" si="13"/>
        <v>0</v>
      </c>
      <c r="AK29" s="431">
        <f t="shared" si="13"/>
        <v>0</v>
      </c>
      <c r="AL29" s="431">
        <f t="shared" si="13"/>
        <v>0</v>
      </c>
      <c r="AM29" s="431">
        <f t="shared" si="13"/>
        <v>0</v>
      </c>
      <c r="AN29" s="431">
        <f t="shared" si="13"/>
        <v>0</v>
      </c>
      <c r="AO29" s="431">
        <f t="shared" si="13"/>
        <v>0</v>
      </c>
      <c r="AP29" s="431">
        <f t="shared" si="13"/>
        <v>0</v>
      </c>
      <c r="AQ29" s="431">
        <f t="shared" si="13"/>
        <v>0</v>
      </c>
      <c r="AR29" s="431">
        <f t="shared" si="13"/>
        <v>0</v>
      </c>
      <c r="AS29" s="431">
        <f t="shared" si="13"/>
        <v>0</v>
      </c>
      <c r="AT29" s="431">
        <f t="shared" si="13"/>
        <v>0</v>
      </c>
      <c r="AU29" s="431"/>
      <c r="AV29" s="431"/>
      <c r="AW29" s="431"/>
      <c r="AX29" s="431"/>
      <c r="AY29" s="431"/>
      <c r="AZ29" s="431"/>
      <c r="BA29" s="431"/>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c r="CO29" s="432"/>
      <c r="CP29" s="432"/>
      <c r="CQ29" s="432"/>
      <c r="CR29" s="432"/>
      <c r="CS29" s="432"/>
      <c r="CT29" s="432"/>
      <c r="CU29" s="432"/>
      <c r="CV29" s="432"/>
      <c r="CW29" s="432"/>
      <c r="CX29" s="432"/>
      <c r="CY29" s="432"/>
      <c r="CZ29" s="432"/>
      <c r="DA29" s="432"/>
      <c r="DB29" s="432"/>
      <c r="DC29" s="432"/>
      <c r="DD29" s="432"/>
      <c r="DE29" s="432"/>
      <c r="DF29" s="432"/>
      <c r="DG29" s="432"/>
      <c r="DH29" s="432"/>
      <c r="DI29" s="432"/>
      <c r="DJ29" s="432"/>
      <c r="DK29" s="432"/>
      <c r="DL29" s="432"/>
      <c r="DM29" s="432"/>
      <c r="DN29" s="432"/>
      <c r="DO29" s="432"/>
      <c r="DP29" s="432"/>
      <c r="DQ29" s="432"/>
      <c r="DR29" s="432"/>
      <c r="DS29" s="432"/>
      <c r="DT29" s="432"/>
      <c r="DU29" s="432"/>
      <c r="DV29" s="432"/>
      <c r="DW29" s="432"/>
      <c r="DX29" s="432"/>
      <c r="DY29" s="432"/>
      <c r="DZ29" s="432"/>
      <c r="EA29" s="432"/>
      <c r="EB29" s="432"/>
      <c r="EC29" s="432"/>
      <c r="ED29" s="432"/>
      <c r="EE29" s="432"/>
      <c r="EF29" s="432"/>
      <c r="EG29" s="432"/>
      <c r="EH29" s="432"/>
      <c r="EI29" s="432"/>
      <c r="EJ29" s="432"/>
      <c r="EK29" s="432"/>
      <c r="EL29" s="432"/>
      <c r="EM29" s="432"/>
      <c r="EN29" s="432"/>
      <c r="EO29" s="432"/>
      <c r="EP29" s="432"/>
      <c r="EQ29" s="432"/>
      <c r="ER29" s="432"/>
      <c r="ES29" s="432"/>
      <c r="ET29" s="432"/>
      <c r="EU29" s="432"/>
      <c r="EV29" s="432"/>
      <c r="EW29" s="432"/>
      <c r="EX29" s="432"/>
      <c r="EY29" s="432"/>
      <c r="EZ29" s="432"/>
      <c r="FA29" s="432"/>
      <c r="FB29" s="432"/>
      <c r="FC29" s="432"/>
      <c r="FD29" s="432"/>
      <c r="FE29" s="432"/>
      <c r="FF29" s="432"/>
      <c r="FG29" s="432"/>
      <c r="FH29" s="432"/>
      <c r="FI29" s="432"/>
    </row>
    <row r="30" spans="1:165" s="298" customFormat="1" hidden="1">
      <c r="A30" s="429" t="str">
        <f>Op_Costs!C22</f>
        <v>Employer Pd. Taxes &amp; Benefits</v>
      </c>
      <c r="B30" s="297" t="str">
        <f>IF(Deal_Overview!$V$17&gt;0,G30/Deal_Overview!$V$17,"")</f>
        <v/>
      </c>
      <c r="C30" s="430">
        <f>Op_Costs!J22</f>
        <v>0.03</v>
      </c>
      <c r="D30" s="698">
        <f>Op_Costs!D22</f>
        <v>0</v>
      </c>
      <c r="E30" s="698">
        <f>Op_Costs!E22</f>
        <v>0</v>
      </c>
      <c r="F30" s="698">
        <f>Op_Costs!F22</f>
        <v>0</v>
      </c>
      <c r="G30" s="297">
        <f>Op_Costs!G22</f>
        <v>0</v>
      </c>
      <c r="H30" s="431">
        <f>G30*(1+$C30)</f>
        <v>0</v>
      </c>
      <c r="I30" s="431">
        <f t="shared" si="13"/>
        <v>0</v>
      </c>
      <c r="J30" s="431">
        <f t="shared" si="13"/>
        <v>0</v>
      </c>
      <c r="K30" s="431">
        <f t="shared" si="13"/>
        <v>0</v>
      </c>
      <c r="L30" s="431">
        <f t="shared" si="13"/>
        <v>0</v>
      </c>
      <c r="M30" s="431">
        <f t="shared" si="13"/>
        <v>0</v>
      </c>
      <c r="N30" s="431">
        <f t="shared" si="13"/>
        <v>0</v>
      </c>
      <c r="O30" s="431">
        <f t="shared" si="13"/>
        <v>0</v>
      </c>
      <c r="P30" s="431">
        <f t="shared" si="13"/>
        <v>0</v>
      </c>
      <c r="Q30" s="431">
        <f t="shared" si="13"/>
        <v>0</v>
      </c>
      <c r="R30" s="431">
        <f t="shared" si="13"/>
        <v>0</v>
      </c>
      <c r="S30" s="431">
        <f t="shared" si="13"/>
        <v>0</v>
      </c>
      <c r="T30" s="431">
        <f t="shared" si="13"/>
        <v>0</v>
      </c>
      <c r="U30" s="431">
        <f t="shared" si="13"/>
        <v>0</v>
      </c>
      <c r="V30" s="431">
        <f t="shared" si="13"/>
        <v>0</v>
      </c>
      <c r="W30" s="431">
        <f t="shared" si="13"/>
        <v>0</v>
      </c>
      <c r="X30" s="431">
        <f t="shared" si="13"/>
        <v>0</v>
      </c>
      <c r="Y30" s="431">
        <f t="shared" si="13"/>
        <v>0</v>
      </c>
      <c r="Z30" s="431">
        <f t="shared" si="13"/>
        <v>0</v>
      </c>
      <c r="AA30" s="431">
        <f t="shared" si="13"/>
        <v>0</v>
      </c>
      <c r="AB30" s="431">
        <f t="shared" si="13"/>
        <v>0</v>
      </c>
      <c r="AC30" s="431">
        <f t="shared" si="13"/>
        <v>0</v>
      </c>
      <c r="AD30" s="431">
        <f t="shared" si="13"/>
        <v>0</v>
      </c>
      <c r="AE30" s="431">
        <f t="shared" si="13"/>
        <v>0</v>
      </c>
      <c r="AF30" s="431">
        <f t="shared" si="13"/>
        <v>0</v>
      </c>
      <c r="AG30" s="431">
        <f t="shared" si="13"/>
        <v>0</v>
      </c>
      <c r="AH30" s="431">
        <f t="shared" si="13"/>
        <v>0</v>
      </c>
      <c r="AI30" s="431">
        <f t="shared" si="13"/>
        <v>0</v>
      </c>
      <c r="AJ30" s="431">
        <f t="shared" si="13"/>
        <v>0</v>
      </c>
      <c r="AK30" s="431">
        <f t="shared" si="13"/>
        <v>0</v>
      </c>
      <c r="AL30" s="431">
        <f t="shared" si="13"/>
        <v>0</v>
      </c>
      <c r="AM30" s="431">
        <f t="shared" si="13"/>
        <v>0</v>
      </c>
      <c r="AN30" s="431">
        <f t="shared" si="13"/>
        <v>0</v>
      </c>
      <c r="AO30" s="431">
        <f t="shared" si="13"/>
        <v>0</v>
      </c>
      <c r="AP30" s="431">
        <f t="shared" si="13"/>
        <v>0</v>
      </c>
      <c r="AQ30" s="431">
        <f t="shared" si="13"/>
        <v>0</v>
      </c>
      <c r="AR30" s="431">
        <f t="shared" si="13"/>
        <v>0</v>
      </c>
      <c r="AS30" s="431">
        <f t="shared" si="13"/>
        <v>0</v>
      </c>
      <c r="AT30" s="431">
        <f t="shared" si="13"/>
        <v>0</v>
      </c>
      <c r="AU30" s="431"/>
      <c r="AV30" s="431"/>
      <c r="AW30" s="431"/>
      <c r="AX30" s="431"/>
      <c r="AY30" s="431"/>
      <c r="AZ30" s="431"/>
      <c r="BA30" s="431"/>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c r="CO30" s="432"/>
      <c r="CP30" s="432"/>
      <c r="CQ30" s="432"/>
      <c r="CR30" s="432"/>
      <c r="CS30" s="432"/>
      <c r="CT30" s="432"/>
      <c r="CU30" s="432"/>
      <c r="CV30" s="432"/>
      <c r="CW30" s="432"/>
      <c r="CX30" s="432"/>
      <c r="CY30" s="432"/>
      <c r="CZ30" s="432"/>
      <c r="DA30" s="432"/>
      <c r="DB30" s="432"/>
      <c r="DC30" s="432"/>
      <c r="DD30" s="432"/>
      <c r="DE30" s="432"/>
      <c r="DF30" s="432"/>
      <c r="DG30" s="432"/>
      <c r="DH30" s="432"/>
      <c r="DI30" s="432"/>
      <c r="DJ30" s="432"/>
      <c r="DK30" s="432"/>
      <c r="DL30" s="432"/>
      <c r="DM30" s="432"/>
      <c r="DN30" s="432"/>
      <c r="DO30" s="432"/>
      <c r="DP30" s="432"/>
      <c r="DQ30" s="432"/>
      <c r="DR30" s="432"/>
      <c r="DS30" s="432"/>
      <c r="DT30" s="432"/>
      <c r="DU30" s="432"/>
      <c r="DV30" s="432"/>
      <c r="DW30" s="432"/>
      <c r="DX30" s="432"/>
      <c r="DY30" s="432"/>
      <c r="DZ30" s="432"/>
      <c r="EA30" s="432"/>
      <c r="EB30" s="432"/>
      <c r="EC30" s="432"/>
      <c r="ED30" s="432"/>
      <c r="EE30" s="432"/>
      <c r="EF30" s="432"/>
      <c r="EG30" s="432"/>
      <c r="EH30" s="432"/>
      <c r="EI30" s="432"/>
      <c r="EJ30" s="432"/>
      <c r="EK30" s="432"/>
      <c r="EL30" s="432"/>
      <c r="EM30" s="432"/>
      <c r="EN30" s="432"/>
      <c r="EO30" s="432"/>
      <c r="EP30" s="432"/>
      <c r="EQ30" s="432"/>
      <c r="ER30" s="432"/>
      <c r="ES30" s="432"/>
      <c r="ET30" s="432"/>
      <c r="EU30" s="432"/>
      <c r="EV30" s="432"/>
      <c r="EW30" s="432"/>
      <c r="EX30" s="432"/>
      <c r="EY30" s="432"/>
      <c r="EZ30" s="432"/>
      <c r="FA30" s="432"/>
      <c r="FB30" s="432"/>
      <c r="FC30" s="432"/>
      <c r="FD30" s="432"/>
      <c r="FE30" s="432"/>
      <c r="FF30" s="432"/>
      <c r="FG30" s="432"/>
      <c r="FH30" s="432"/>
      <c r="FI30" s="432"/>
    </row>
    <row r="31" spans="1:165" s="432" customFormat="1" hidden="1">
      <c r="A31" s="444" t="str">
        <f>Op_Costs!C23</f>
        <v>Other Payroll</v>
      </c>
      <c r="B31" s="431" t="str">
        <f>IF(Deal_Overview!$V$17&gt;0,G31/Deal_Overview!$V$17,"")</f>
        <v/>
      </c>
      <c r="C31" s="445">
        <f>Op_Costs!J23</f>
        <v>0.03</v>
      </c>
      <c r="D31" s="698">
        <f>Op_Costs!D23</f>
        <v>0</v>
      </c>
      <c r="E31" s="698">
        <f>Op_Costs!E23</f>
        <v>0</v>
      </c>
      <c r="F31" s="698">
        <f>Op_Costs!F23</f>
        <v>0</v>
      </c>
      <c r="G31" s="297">
        <f>Op_Costs!G23</f>
        <v>0</v>
      </c>
      <c r="H31" s="431">
        <f>G31*(1+$C31)</f>
        <v>0</v>
      </c>
      <c r="I31" s="431">
        <f t="shared" si="13"/>
        <v>0</v>
      </c>
      <c r="J31" s="431">
        <f t="shared" si="13"/>
        <v>0</v>
      </c>
      <c r="K31" s="431">
        <f t="shared" si="13"/>
        <v>0</v>
      </c>
      <c r="L31" s="431">
        <f t="shared" si="13"/>
        <v>0</v>
      </c>
      <c r="M31" s="431">
        <f t="shared" si="13"/>
        <v>0</v>
      </c>
      <c r="N31" s="431">
        <f t="shared" si="13"/>
        <v>0</v>
      </c>
      <c r="O31" s="431">
        <f t="shared" si="13"/>
        <v>0</v>
      </c>
      <c r="P31" s="431">
        <f t="shared" si="13"/>
        <v>0</v>
      </c>
      <c r="Q31" s="431">
        <f t="shared" si="13"/>
        <v>0</v>
      </c>
      <c r="R31" s="431">
        <f t="shared" si="13"/>
        <v>0</v>
      </c>
      <c r="S31" s="431">
        <f t="shared" si="13"/>
        <v>0</v>
      </c>
      <c r="T31" s="431">
        <f t="shared" si="13"/>
        <v>0</v>
      </c>
      <c r="U31" s="431">
        <f t="shared" si="13"/>
        <v>0</v>
      </c>
      <c r="V31" s="431">
        <f t="shared" si="13"/>
        <v>0</v>
      </c>
      <c r="W31" s="431">
        <f t="shared" si="13"/>
        <v>0</v>
      </c>
      <c r="X31" s="431">
        <f t="shared" si="13"/>
        <v>0</v>
      </c>
      <c r="Y31" s="431">
        <f t="shared" si="13"/>
        <v>0</v>
      </c>
      <c r="Z31" s="431">
        <f t="shared" si="13"/>
        <v>0</v>
      </c>
      <c r="AA31" s="431">
        <f t="shared" si="13"/>
        <v>0</v>
      </c>
      <c r="AB31" s="431">
        <f t="shared" si="13"/>
        <v>0</v>
      </c>
      <c r="AC31" s="431">
        <f t="shared" si="13"/>
        <v>0</v>
      </c>
      <c r="AD31" s="431">
        <f t="shared" si="13"/>
        <v>0</v>
      </c>
      <c r="AE31" s="431">
        <f t="shared" si="13"/>
        <v>0</v>
      </c>
      <c r="AF31" s="431">
        <f t="shared" si="13"/>
        <v>0</v>
      </c>
      <c r="AG31" s="431">
        <f t="shared" si="13"/>
        <v>0</v>
      </c>
      <c r="AH31" s="431">
        <f t="shared" si="13"/>
        <v>0</v>
      </c>
      <c r="AI31" s="431">
        <f t="shared" si="13"/>
        <v>0</v>
      </c>
      <c r="AJ31" s="431">
        <f t="shared" si="13"/>
        <v>0</v>
      </c>
      <c r="AK31" s="431">
        <f t="shared" si="13"/>
        <v>0</v>
      </c>
      <c r="AL31" s="431">
        <f t="shared" si="13"/>
        <v>0</v>
      </c>
      <c r="AM31" s="431">
        <f t="shared" si="13"/>
        <v>0</v>
      </c>
      <c r="AN31" s="431">
        <f t="shared" si="13"/>
        <v>0</v>
      </c>
      <c r="AO31" s="431">
        <f t="shared" si="13"/>
        <v>0</v>
      </c>
      <c r="AP31" s="431">
        <f t="shared" si="13"/>
        <v>0</v>
      </c>
      <c r="AQ31" s="431">
        <f t="shared" si="13"/>
        <v>0</v>
      </c>
      <c r="AR31" s="431">
        <f t="shared" si="13"/>
        <v>0</v>
      </c>
      <c r="AS31" s="431">
        <f t="shared" si="13"/>
        <v>0</v>
      </c>
      <c r="AT31" s="431">
        <f t="shared" si="13"/>
        <v>0</v>
      </c>
      <c r="AU31" s="431"/>
      <c r="AV31" s="431"/>
      <c r="AW31" s="431"/>
      <c r="AX31" s="431"/>
      <c r="AY31" s="431"/>
      <c r="AZ31" s="431"/>
      <c r="BA31" s="431"/>
    </row>
    <row r="32" spans="1:165" s="450" customFormat="1">
      <c r="A32" s="447" t="str">
        <f>Op_Costs!B24</f>
        <v>Payroll Subtotal</v>
      </c>
      <c r="B32" s="448" t="str">
        <f>IF(Deal_Overview!$V$17&gt;0,G32/Deal_Overview!$V$17,"")</f>
        <v/>
      </c>
      <c r="C32" s="449"/>
      <c r="D32" s="699">
        <f t="shared" ref="D32:AT32" si="14">SUM(D27:D31)</f>
        <v>0</v>
      </c>
      <c r="E32" s="699">
        <f t="shared" si="14"/>
        <v>0</v>
      </c>
      <c r="F32" s="699">
        <f t="shared" si="14"/>
        <v>0</v>
      </c>
      <c r="G32" s="448">
        <f t="shared" si="14"/>
        <v>0</v>
      </c>
      <c r="H32" s="448">
        <f t="shared" si="14"/>
        <v>0</v>
      </c>
      <c r="I32" s="448">
        <f t="shared" si="14"/>
        <v>0</v>
      </c>
      <c r="J32" s="448">
        <f t="shared" si="14"/>
        <v>0</v>
      </c>
      <c r="K32" s="448">
        <f t="shared" si="14"/>
        <v>0</v>
      </c>
      <c r="L32" s="448">
        <f t="shared" si="14"/>
        <v>0</v>
      </c>
      <c r="M32" s="448">
        <f t="shared" si="14"/>
        <v>0</v>
      </c>
      <c r="N32" s="448">
        <f t="shared" si="14"/>
        <v>0</v>
      </c>
      <c r="O32" s="448">
        <f t="shared" si="14"/>
        <v>0</v>
      </c>
      <c r="P32" s="448">
        <f t="shared" si="14"/>
        <v>0</v>
      </c>
      <c r="Q32" s="448">
        <f t="shared" si="14"/>
        <v>0</v>
      </c>
      <c r="R32" s="448">
        <f t="shared" si="14"/>
        <v>0</v>
      </c>
      <c r="S32" s="448">
        <f t="shared" si="14"/>
        <v>0</v>
      </c>
      <c r="T32" s="448">
        <f t="shared" si="14"/>
        <v>0</v>
      </c>
      <c r="U32" s="448">
        <f t="shared" si="14"/>
        <v>0</v>
      </c>
      <c r="V32" s="448">
        <f t="shared" si="14"/>
        <v>0</v>
      </c>
      <c r="W32" s="448">
        <f t="shared" si="14"/>
        <v>0</v>
      </c>
      <c r="X32" s="448">
        <f t="shared" si="14"/>
        <v>0</v>
      </c>
      <c r="Y32" s="448">
        <f t="shared" si="14"/>
        <v>0</v>
      </c>
      <c r="Z32" s="448">
        <f t="shared" si="14"/>
        <v>0</v>
      </c>
      <c r="AA32" s="448">
        <f t="shared" si="14"/>
        <v>0</v>
      </c>
      <c r="AB32" s="448">
        <f t="shared" si="14"/>
        <v>0</v>
      </c>
      <c r="AC32" s="448">
        <f t="shared" si="14"/>
        <v>0</v>
      </c>
      <c r="AD32" s="448">
        <f t="shared" si="14"/>
        <v>0</v>
      </c>
      <c r="AE32" s="448">
        <f t="shared" si="14"/>
        <v>0</v>
      </c>
      <c r="AF32" s="448">
        <f t="shared" si="14"/>
        <v>0</v>
      </c>
      <c r="AG32" s="448">
        <f t="shared" si="14"/>
        <v>0</v>
      </c>
      <c r="AH32" s="448">
        <f t="shared" si="14"/>
        <v>0</v>
      </c>
      <c r="AI32" s="448">
        <f t="shared" si="14"/>
        <v>0</v>
      </c>
      <c r="AJ32" s="448">
        <f t="shared" si="14"/>
        <v>0</v>
      </c>
      <c r="AK32" s="448">
        <f t="shared" si="14"/>
        <v>0</v>
      </c>
      <c r="AL32" s="448">
        <f t="shared" si="14"/>
        <v>0</v>
      </c>
      <c r="AM32" s="448">
        <f t="shared" si="14"/>
        <v>0</v>
      </c>
      <c r="AN32" s="448">
        <f t="shared" si="14"/>
        <v>0</v>
      </c>
      <c r="AO32" s="448">
        <f t="shared" si="14"/>
        <v>0</v>
      </c>
      <c r="AP32" s="448">
        <f t="shared" si="14"/>
        <v>0</v>
      </c>
      <c r="AQ32" s="448">
        <f t="shared" si="14"/>
        <v>0</v>
      </c>
      <c r="AR32" s="448">
        <f t="shared" si="14"/>
        <v>0</v>
      </c>
      <c r="AS32" s="448">
        <f t="shared" si="14"/>
        <v>0</v>
      </c>
      <c r="AT32" s="448">
        <f t="shared" si="14"/>
        <v>0</v>
      </c>
      <c r="AU32" s="448"/>
      <c r="AV32" s="448"/>
      <c r="AW32" s="448"/>
      <c r="AX32" s="448"/>
      <c r="AY32" s="448"/>
      <c r="AZ32" s="448"/>
      <c r="BA32" s="448"/>
    </row>
    <row r="33" spans="1:165" s="298" customFormat="1" hidden="1">
      <c r="A33" s="429" t="str">
        <f>Op_Costs!C25</f>
        <v>Real Estate Taxes</v>
      </c>
      <c r="B33" s="297" t="str">
        <f>IF(Deal_Overview!$V$17&gt;0,G33/Deal_Overview!$V$17,"")</f>
        <v/>
      </c>
      <c r="C33" s="430">
        <f>Op_Costs!J25</f>
        <v>0.03</v>
      </c>
      <c r="D33" s="698">
        <f>Op_Costs!D25</f>
        <v>0</v>
      </c>
      <c r="E33" s="698">
        <f>Op_Costs!E25</f>
        <v>0</v>
      </c>
      <c r="F33" s="698">
        <f>Op_Costs!F25</f>
        <v>0</v>
      </c>
      <c r="G33" s="297">
        <f>Op_Costs!G25</f>
        <v>0</v>
      </c>
      <c r="H33" s="431">
        <f>G33*(1+$C33)</f>
        <v>0</v>
      </c>
      <c r="I33" s="431">
        <f t="shared" ref="I33:AT36" si="15">H33*(1+$C33)</f>
        <v>0</v>
      </c>
      <c r="J33" s="431">
        <f t="shared" si="15"/>
        <v>0</v>
      </c>
      <c r="K33" s="431">
        <f t="shared" si="15"/>
        <v>0</v>
      </c>
      <c r="L33" s="431">
        <f t="shared" si="15"/>
        <v>0</v>
      </c>
      <c r="M33" s="431">
        <f t="shared" si="15"/>
        <v>0</v>
      </c>
      <c r="N33" s="431">
        <f t="shared" si="15"/>
        <v>0</v>
      </c>
      <c r="O33" s="431">
        <f t="shared" si="15"/>
        <v>0</v>
      </c>
      <c r="P33" s="431">
        <f t="shared" si="15"/>
        <v>0</v>
      </c>
      <c r="Q33" s="431">
        <f t="shared" si="15"/>
        <v>0</v>
      </c>
      <c r="R33" s="431">
        <f t="shared" si="15"/>
        <v>0</v>
      </c>
      <c r="S33" s="431">
        <f t="shared" si="15"/>
        <v>0</v>
      </c>
      <c r="T33" s="431">
        <f t="shared" si="15"/>
        <v>0</v>
      </c>
      <c r="U33" s="431">
        <f t="shared" si="15"/>
        <v>0</v>
      </c>
      <c r="V33" s="431">
        <f t="shared" si="15"/>
        <v>0</v>
      </c>
      <c r="W33" s="431">
        <f t="shared" si="15"/>
        <v>0</v>
      </c>
      <c r="X33" s="431">
        <f t="shared" si="15"/>
        <v>0</v>
      </c>
      <c r="Y33" s="431">
        <f t="shared" si="15"/>
        <v>0</v>
      </c>
      <c r="Z33" s="431">
        <f t="shared" si="15"/>
        <v>0</v>
      </c>
      <c r="AA33" s="431">
        <f t="shared" si="15"/>
        <v>0</v>
      </c>
      <c r="AB33" s="431">
        <f t="shared" si="15"/>
        <v>0</v>
      </c>
      <c r="AC33" s="431">
        <f t="shared" si="15"/>
        <v>0</v>
      </c>
      <c r="AD33" s="431">
        <f t="shared" si="15"/>
        <v>0</v>
      </c>
      <c r="AE33" s="431">
        <f t="shared" si="15"/>
        <v>0</v>
      </c>
      <c r="AF33" s="431">
        <f t="shared" si="15"/>
        <v>0</v>
      </c>
      <c r="AG33" s="431">
        <f t="shared" si="15"/>
        <v>0</v>
      </c>
      <c r="AH33" s="431">
        <f t="shared" si="15"/>
        <v>0</v>
      </c>
      <c r="AI33" s="431">
        <f t="shared" si="15"/>
        <v>0</v>
      </c>
      <c r="AJ33" s="431">
        <f t="shared" si="15"/>
        <v>0</v>
      </c>
      <c r="AK33" s="431">
        <f t="shared" si="15"/>
        <v>0</v>
      </c>
      <c r="AL33" s="431">
        <f t="shared" si="15"/>
        <v>0</v>
      </c>
      <c r="AM33" s="431">
        <f t="shared" si="15"/>
        <v>0</v>
      </c>
      <c r="AN33" s="431">
        <f t="shared" si="15"/>
        <v>0</v>
      </c>
      <c r="AO33" s="431">
        <f t="shared" si="15"/>
        <v>0</v>
      </c>
      <c r="AP33" s="431">
        <f t="shared" si="15"/>
        <v>0</v>
      </c>
      <c r="AQ33" s="431">
        <f t="shared" si="15"/>
        <v>0</v>
      </c>
      <c r="AR33" s="431">
        <f t="shared" si="15"/>
        <v>0</v>
      </c>
      <c r="AS33" s="431">
        <f t="shared" si="15"/>
        <v>0</v>
      </c>
      <c r="AT33" s="431">
        <f t="shared" si="15"/>
        <v>0</v>
      </c>
      <c r="AU33" s="431"/>
      <c r="AV33" s="431"/>
      <c r="AW33" s="431"/>
      <c r="AX33" s="431"/>
      <c r="AY33" s="431"/>
      <c r="AZ33" s="431"/>
      <c r="BA33" s="431"/>
      <c r="BB33" s="432"/>
      <c r="BC33" s="432"/>
      <c r="BD33" s="432"/>
      <c r="BE33" s="432"/>
      <c r="BF33" s="432"/>
      <c r="BG33" s="432"/>
      <c r="BH33" s="432"/>
      <c r="BI33" s="432"/>
      <c r="BJ33" s="432"/>
      <c r="BK33" s="432"/>
      <c r="BL33" s="432"/>
      <c r="BM33" s="432"/>
      <c r="BN33" s="432"/>
      <c r="BO33" s="432"/>
      <c r="BP33" s="432"/>
      <c r="BQ33" s="432"/>
      <c r="BR33" s="432"/>
      <c r="BS33" s="432"/>
      <c r="BT33" s="432"/>
      <c r="BU33" s="432"/>
      <c r="BV33" s="432"/>
      <c r="BW33" s="432"/>
      <c r="BX33" s="432"/>
      <c r="BY33" s="432"/>
      <c r="BZ33" s="432"/>
      <c r="CA33" s="432"/>
      <c r="CB33" s="432"/>
      <c r="CC33" s="432"/>
      <c r="CD33" s="432"/>
      <c r="CE33" s="432"/>
      <c r="CF33" s="432"/>
      <c r="CG33" s="432"/>
      <c r="CH33" s="432"/>
      <c r="CI33" s="432"/>
      <c r="CJ33" s="432"/>
      <c r="CK33" s="432"/>
      <c r="CL33" s="432"/>
      <c r="CM33" s="432"/>
      <c r="CN33" s="432"/>
      <c r="CO33" s="432"/>
      <c r="CP33" s="432"/>
      <c r="CQ33" s="432"/>
      <c r="CR33" s="432"/>
      <c r="CS33" s="432"/>
      <c r="CT33" s="432"/>
      <c r="CU33" s="432"/>
      <c r="CV33" s="432"/>
      <c r="CW33" s="432"/>
      <c r="CX33" s="432"/>
      <c r="CY33" s="432"/>
      <c r="CZ33" s="432"/>
      <c r="DA33" s="432"/>
      <c r="DB33" s="432"/>
      <c r="DC33" s="432"/>
      <c r="DD33" s="432"/>
      <c r="DE33" s="432"/>
      <c r="DF33" s="432"/>
      <c r="DG33" s="432"/>
      <c r="DH33" s="432"/>
      <c r="DI33" s="432"/>
      <c r="DJ33" s="432"/>
      <c r="DK33" s="432"/>
      <c r="DL33" s="432"/>
      <c r="DM33" s="432"/>
      <c r="DN33" s="432"/>
      <c r="DO33" s="432"/>
      <c r="DP33" s="432"/>
      <c r="DQ33" s="432"/>
      <c r="DR33" s="432"/>
      <c r="DS33" s="432"/>
      <c r="DT33" s="432"/>
      <c r="DU33" s="432"/>
      <c r="DV33" s="432"/>
      <c r="DW33" s="432"/>
      <c r="DX33" s="432"/>
      <c r="DY33" s="432"/>
      <c r="DZ33" s="432"/>
      <c r="EA33" s="432"/>
      <c r="EB33" s="432"/>
      <c r="EC33" s="432"/>
      <c r="ED33" s="432"/>
      <c r="EE33" s="432"/>
      <c r="EF33" s="432"/>
      <c r="EG33" s="432"/>
      <c r="EH33" s="432"/>
      <c r="EI33" s="432"/>
      <c r="EJ33" s="432"/>
      <c r="EK33" s="432"/>
      <c r="EL33" s="432"/>
      <c r="EM33" s="432"/>
      <c r="EN33" s="432"/>
      <c r="EO33" s="432"/>
      <c r="EP33" s="432"/>
      <c r="EQ33" s="432"/>
      <c r="ER33" s="432"/>
      <c r="ES33" s="432"/>
      <c r="ET33" s="432"/>
      <c r="EU33" s="432"/>
      <c r="EV33" s="432"/>
      <c r="EW33" s="432"/>
      <c r="EX33" s="432"/>
      <c r="EY33" s="432"/>
      <c r="EZ33" s="432"/>
      <c r="FA33" s="432"/>
      <c r="FB33" s="432"/>
      <c r="FC33" s="432"/>
      <c r="FD33" s="432"/>
      <c r="FE33" s="432"/>
      <c r="FF33" s="432"/>
      <c r="FG33" s="432"/>
      <c r="FH33" s="432"/>
      <c r="FI33" s="432"/>
    </row>
    <row r="34" spans="1:165" s="298" customFormat="1" hidden="1">
      <c r="A34" s="429" t="str">
        <f>Op_Costs!C26</f>
        <v>Property Insurance</v>
      </c>
      <c r="B34" s="297" t="str">
        <f>IF(Deal_Overview!$V$17&gt;0,G34/Deal_Overview!$V$17,"")</f>
        <v/>
      </c>
      <c r="C34" s="430">
        <f>Op_Costs!J26</f>
        <v>0.03</v>
      </c>
      <c r="D34" s="698">
        <f>Op_Costs!D26</f>
        <v>0</v>
      </c>
      <c r="E34" s="698">
        <f>Op_Costs!E26</f>
        <v>0</v>
      </c>
      <c r="F34" s="698">
        <f>Op_Costs!F26</f>
        <v>0</v>
      </c>
      <c r="G34" s="297">
        <f>Op_Costs!G26</f>
        <v>0</v>
      </c>
      <c r="H34" s="431">
        <f>G34*(1+$C34)</f>
        <v>0</v>
      </c>
      <c r="I34" s="431">
        <f t="shared" si="15"/>
        <v>0</v>
      </c>
      <c r="J34" s="431">
        <f t="shared" si="15"/>
        <v>0</v>
      </c>
      <c r="K34" s="431">
        <f t="shared" si="15"/>
        <v>0</v>
      </c>
      <c r="L34" s="431">
        <f t="shared" si="15"/>
        <v>0</v>
      </c>
      <c r="M34" s="431">
        <f t="shared" si="15"/>
        <v>0</v>
      </c>
      <c r="N34" s="431">
        <f t="shared" si="15"/>
        <v>0</v>
      </c>
      <c r="O34" s="431">
        <f t="shared" si="15"/>
        <v>0</v>
      </c>
      <c r="P34" s="431">
        <f t="shared" si="15"/>
        <v>0</v>
      </c>
      <c r="Q34" s="431">
        <f t="shared" si="15"/>
        <v>0</v>
      </c>
      <c r="R34" s="431">
        <f t="shared" si="15"/>
        <v>0</v>
      </c>
      <c r="S34" s="431">
        <f t="shared" si="15"/>
        <v>0</v>
      </c>
      <c r="T34" s="431">
        <f t="shared" si="15"/>
        <v>0</v>
      </c>
      <c r="U34" s="431">
        <f t="shared" si="15"/>
        <v>0</v>
      </c>
      <c r="V34" s="431">
        <f t="shared" si="15"/>
        <v>0</v>
      </c>
      <c r="W34" s="431">
        <f t="shared" si="15"/>
        <v>0</v>
      </c>
      <c r="X34" s="431">
        <f t="shared" si="15"/>
        <v>0</v>
      </c>
      <c r="Y34" s="431">
        <f t="shared" si="15"/>
        <v>0</v>
      </c>
      <c r="Z34" s="431">
        <f t="shared" si="15"/>
        <v>0</v>
      </c>
      <c r="AA34" s="431">
        <f t="shared" si="15"/>
        <v>0</v>
      </c>
      <c r="AB34" s="431">
        <f t="shared" si="15"/>
        <v>0</v>
      </c>
      <c r="AC34" s="431">
        <f t="shared" si="15"/>
        <v>0</v>
      </c>
      <c r="AD34" s="431">
        <f t="shared" si="15"/>
        <v>0</v>
      </c>
      <c r="AE34" s="431">
        <f t="shared" si="15"/>
        <v>0</v>
      </c>
      <c r="AF34" s="431">
        <f t="shared" si="15"/>
        <v>0</v>
      </c>
      <c r="AG34" s="431">
        <f t="shared" si="15"/>
        <v>0</v>
      </c>
      <c r="AH34" s="431">
        <f t="shared" si="15"/>
        <v>0</v>
      </c>
      <c r="AI34" s="431">
        <f t="shared" si="15"/>
        <v>0</v>
      </c>
      <c r="AJ34" s="431">
        <f t="shared" si="15"/>
        <v>0</v>
      </c>
      <c r="AK34" s="431">
        <f t="shared" si="15"/>
        <v>0</v>
      </c>
      <c r="AL34" s="431">
        <f t="shared" si="15"/>
        <v>0</v>
      </c>
      <c r="AM34" s="431">
        <f t="shared" si="15"/>
        <v>0</v>
      </c>
      <c r="AN34" s="431">
        <f t="shared" si="15"/>
        <v>0</v>
      </c>
      <c r="AO34" s="431">
        <f t="shared" si="15"/>
        <v>0</v>
      </c>
      <c r="AP34" s="431">
        <f t="shared" si="15"/>
        <v>0</v>
      </c>
      <c r="AQ34" s="431">
        <f t="shared" si="15"/>
        <v>0</v>
      </c>
      <c r="AR34" s="431">
        <f t="shared" si="15"/>
        <v>0</v>
      </c>
      <c r="AS34" s="431">
        <f t="shared" si="15"/>
        <v>0</v>
      </c>
      <c r="AT34" s="431">
        <f t="shared" si="15"/>
        <v>0</v>
      </c>
      <c r="AU34" s="431"/>
      <c r="AV34" s="431"/>
      <c r="AW34" s="431"/>
      <c r="AX34" s="431"/>
      <c r="AY34" s="431"/>
      <c r="AZ34" s="431"/>
      <c r="BA34" s="431"/>
      <c r="BB34" s="432"/>
      <c r="BC34" s="432"/>
      <c r="BD34" s="432"/>
      <c r="BE34" s="432"/>
      <c r="BF34" s="432"/>
      <c r="BG34" s="432"/>
      <c r="BH34" s="432"/>
      <c r="BI34" s="432"/>
      <c r="BJ34" s="432"/>
      <c r="BK34" s="432"/>
      <c r="BL34" s="432"/>
      <c r="BM34" s="432"/>
      <c r="BN34" s="432"/>
      <c r="BO34" s="432"/>
      <c r="BP34" s="432"/>
      <c r="BQ34" s="432"/>
      <c r="BR34" s="432"/>
      <c r="BS34" s="432"/>
      <c r="BT34" s="432"/>
      <c r="BU34" s="432"/>
      <c r="BV34" s="432"/>
      <c r="BW34" s="432"/>
      <c r="BX34" s="432"/>
      <c r="BY34" s="432"/>
      <c r="BZ34" s="432"/>
      <c r="CA34" s="432"/>
      <c r="CB34" s="432"/>
      <c r="CC34" s="432"/>
      <c r="CD34" s="432"/>
      <c r="CE34" s="432"/>
      <c r="CF34" s="432"/>
      <c r="CG34" s="432"/>
      <c r="CH34" s="432"/>
      <c r="CI34" s="432"/>
      <c r="CJ34" s="432"/>
      <c r="CK34" s="432"/>
      <c r="CL34" s="432"/>
      <c r="CM34" s="432"/>
      <c r="CN34" s="432"/>
      <c r="CO34" s="432"/>
      <c r="CP34" s="432"/>
      <c r="CQ34" s="432"/>
      <c r="CR34" s="432"/>
      <c r="CS34" s="432"/>
      <c r="CT34" s="432"/>
      <c r="CU34" s="432"/>
      <c r="CV34" s="432"/>
      <c r="CW34" s="432"/>
      <c r="CX34" s="432"/>
      <c r="CY34" s="432"/>
      <c r="CZ34" s="432"/>
      <c r="DA34" s="432"/>
      <c r="DB34" s="432"/>
      <c r="DC34" s="432"/>
      <c r="DD34" s="432"/>
      <c r="DE34" s="432"/>
      <c r="DF34" s="432"/>
      <c r="DG34" s="432"/>
      <c r="DH34" s="432"/>
      <c r="DI34" s="432"/>
      <c r="DJ34" s="432"/>
      <c r="DK34" s="432"/>
      <c r="DL34" s="432"/>
      <c r="DM34" s="432"/>
      <c r="DN34" s="432"/>
      <c r="DO34" s="432"/>
      <c r="DP34" s="432"/>
      <c r="DQ34" s="432"/>
      <c r="DR34" s="432"/>
      <c r="DS34" s="432"/>
      <c r="DT34" s="432"/>
      <c r="DU34" s="432"/>
      <c r="DV34" s="432"/>
      <c r="DW34" s="432"/>
      <c r="DX34" s="432"/>
      <c r="DY34" s="432"/>
      <c r="DZ34" s="432"/>
      <c r="EA34" s="432"/>
      <c r="EB34" s="432"/>
      <c r="EC34" s="432"/>
      <c r="ED34" s="432"/>
      <c r="EE34" s="432"/>
      <c r="EF34" s="432"/>
      <c r="EG34" s="432"/>
      <c r="EH34" s="432"/>
      <c r="EI34" s="432"/>
      <c r="EJ34" s="432"/>
      <c r="EK34" s="432"/>
      <c r="EL34" s="432"/>
      <c r="EM34" s="432"/>
      <c r="EN34" s="432"/>
      <c r="EO34" s="432"/>
      <c r="EP34" s="432"/>
      <c r="EQ34" s="432"/>
      <c r="ER34" s="432"/>
      <c r="ES34" s="432"/>
      <c r="ET34" s="432"/>
      <c r="EU34" s="432"/>
      <c r="EV34" s="432"/>
      <c r="EW34" s="432"/>
      <c r="EX34" s="432"/>
      <c r="EY34" s="432"/>
      <c r="EZ34" s="432"/>
      <c r="FA34" s="432"/>
      <c r="FB34" s="432"/>
      <c r="FC34" s="432"/>
      <c r="FD34" s="432"/>
      <c r="FE34" s="432"/>
      <c r="FF34" s="432"/>
      <c r="FG34" s="432"/>
      <c r="FH34" s="432"/>
      <c r="FI34" s="432"/>
    </row>
    <row r="35" spans="1:165" s="298" customFormat="1" hidden="1">
      <c r="A35" s="429" t="str">
        <f>Op_Costs!C27</f>
        <v>Liability Insurance</v>
      </c>
      <c r="B35" s="297" t="str">
        <f>IF(Deal_Overview!$V$17&gt;0,G35/Deal_Overview!$V$17,"")</f>
        <v/>
      </c>
      <c r="C35" s="430">
        <f>Op_Costs!J27</f>
        <v>0.03</v>
      </c>
      <c r="D35" s="698">
        <f>Op_Costs!D27</f>
        <v>0</v>
      </c>
      <c r="E35" s="698">
        <f>Op_Costs!E27</f>
        <v>0</v>
      </c>
      <c r="F35" s="698">
        <f>Op_Costs!F27</f>
        <v>0</v>
      </c>
      <c r="G35" s="297">
        <f>Op_Costs!G27</f>
        <v>0</v>
      </c>
      <c r="H35" s="431">
        <f>G35*(1+$C35)</f>
        <v>0</v>
      </c>
      <c r="I35" s="431">
        <f t="shared" si="15"/>
        <v>0</v>
      </c>
      <c r="J35" s="431">
        <f t="shared" si="15"/>
        <v>0</v>
      </c>
      <c r="K35" s="431">
        <f t="shared" si="15"/>
        <v>0</v>
      </c>
      <c r="L35" s="431">
        <f t="shared" si="15"/>
        <v>0</v>
      </c>
      <c r="M35" s="431">
        <f t="shared" si="15"/>
        <v>0</v>
      </c>
      <c r="N35" s="431">
        <f t="shared" si="15"/>
        <v>0</v>
      </c>
      <c r="O35" s="431">
        <f t="shared" si="15"/>
        <v>0</v>
      </c>
      <c r="P35" s="431">
        <f t="shared" si="15"/>
        <v>0</v>
      </c>
      <c r="Q35" s="431">
        <f t="shared" si="15"/>
        <v>0</v>
      </c>
      <c r="R35" s="431">
        <f t="shared" si="15"/>
        <v>0</v>
      </c>
      <c r="S35" s="431">
        <f t="shared" si="15"/>
        <v>0</v>
      </c>
      <c r="T35" s="431">
        <f t="shared" si="15"/>
        <v>0</v>
      </c>
      <c r="U35" s="431">
        <f t="shared" si="15"/>
        <v>0</v>
      </c>
      <c r="V35" s="431">
        <f t="shared" si="15"/>
        <v>0</v>
      </c>
      <c r="W35" s="431">
        <f t="shared" si="15"/>
        <v>0</v>
      </c>
      <c r="X35" s="431">
        <f t="shared" si="15"/>
        <v>0</v>
      </c>
      <c r="Y35" s="431">
        <f t="shared" si="15"/>
        <v>0</v>
      </c>
      <c r="Z35" s="431">
        <f t="shared" si="15"/>
        <v>0</v>
      </c>
      <c r="AA35" s="431">
        <f t="shared" si="15"/>
        <v>0</v>
      </c>
      <c r="AB35" s="431">
        <f t="shared" si="15"/>
        <v>0</v>
      </c>
      <c r="AC35" s="431">
        <f t="shared" si="15"/>
        <v>0</v>
      </c>
      <c r="AD35" s="431">
        <f t="shared" si="15"/>
        <v>0</v>
      </c>
      <c r="AE35" s="431">
        <f t="shared" si="15"/>
        <v>0</v>
      </c>
      <c r="AF35" s="431">
        <f t="shared" si="15"/>
        <v>0</v>
      </c>
      <c r="AG35" s="431">
        <f t="shared" si="15"/>
        <v>0</v>
      </c>
      <c r="AH35" s="431">
        <f t="shared" si="15"/>
        <v>0</v>
      </c>
      <c r="AI35" s="431">
        <f t="shared" si="15"/>
        <v>0</v>
      </c>
      <c r="AJ35" s="431">
        <f t="shared" si="15"/>
        <v>0</v>
      </c>
      <c r="AK35" s="431">
        <f t="shared" si="15"/>
        <v>0</v>
      </c>
      <c r="AL35" s="431">
        <f t="shared" si="15"/>
        <v>0</v>
      </c>
      <c r="AM35" s="431">
        <f t="shared" si="15"/>
        <v>0</v>
      </c>
      <c r="AN35" s="431">
        <f t="shared" si="15"/>
        <v>0</v>
      </c>
      <c r="AO35" s="431">
        <f t="shared" si="15"/>
        <v>0</v>
      </c>
      <c r="AP35" s="431">
        <f t="shared" si="15"/>
        <v>0</v>
      </c>
      <c r="AQ35" s="431">
        <f t="shared" si="15"/>
        <v>0</v>
      </c>
      <c r="AR35" s="431">
        <f t="shared" si="15"/>
        <v>0</v>
      </c>
      <c r="AS35" s="431">
        <f t="shared" si="15"/>
        <v>0</v>
      </c>
      <c r="AT35" s="431">
        <f t="shared" si="15"/>
        <v>0</v>
      </c>
      <c r="AU35" s="431"/>
      <c r="AV35" s="431"/>
      <c r="AW35" s="431"/>
      <c r="AX35" s="431"/>
      <c r="AY35" s="431"/>
      <c r="AZ35" s="431"/>
      <c r="BA35" s="431"/>
      <c r="BB35" s="432"/>
      <c r="BC35" s="432"/>
      <c r="BD35" s="432"/>
      <c r="BE35" s="432"/>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2"/>
      <c r="CN35" s="432"/>
      <c r="CO35" s="432"/>
      <c r="CP35" s="432"/>
      <c r="CQ35" s="432"/>
      <c r="CR35" s="432"/>
      <c r="CS35" s="432"/>
      <c r="CT35" s="432"/>
      <c r="CU35" s="432"/>
      <c r="CV35" s="432"/>
      <c r="CW35" s="432"/>
      <c r="CX35" s="432"/>
      <c r="CY35" s="432"/>
      <c r="CZ35" s="432"/>
      <c r="DA35" s="432"/>
      <c r="DB35" s="432"/>
      <c r="DC35" s="432"/>
      <c r="DD35" s="432"/>
      <c r="DE35" s="432"/>
      <c r="DF35" s="432"/>
      <c r="DG35" s="432"/>
      <c r="DH35" s="432"/>
      <c r="DI35" s="432"/>
      <c r="DJ35" s="432"/>
      <c r="DK35" s="432"/>
      <c r="DL35" s="432"/>
      <c r="DM35" s="432"/>
      <c r="DN35" s="432"/>
      <c r="DO35" s="432"/>
      <c r="DP35" s="432"/>
      <c r="DQ35" s="432"/>
      <c r="DR35" s="432"/>
      <c r="DS35" s="432"/>
      <c r="DT35" s="432"/>
      <c r="DU35" s="432"/>
      <c r="DV35" s="432"/>
      <c r="DW35" s="432"/>
      <c r="DX35" s="432"/>
      <c r="DY35" s="432"/>
      <c r="DZ35" s="432"/>
      <c r="EA35" s="432"/>
      <c r="EB35" s="432"/>
      <c r="EC35" s="432"/>
      <c r="ED35" s="432"/>
      <c r="EE35" s="432"/>
      <c r="EF35" s="432"/>
      <c r="EG35" s="432"/>
      <c r="EH35" s="432"/>
      <c r="EI35" s="432"/>
      <c r="EJ35" s="432"/>
      <c r="EK35" s="432"/>
      <c r="EL35" s="432"/>
      <c r="EM35" s="432"/>
      <c r="EN35" s="432"/>
      <c r="EO35" s="432"/>
      <c r="EP35" s="432"/>
      <c r="EQ35" s="432"/>
      <c r="ER35" s="432"/>
      <c r="ES35" s="432"/>
      <c r="ET35" s="432"/>
      <c r="EU35" s="432"/>
      <c r="EV35" s="432"/>
      <c r="EW35" s="432"/>
      <c r="EX35" s="432"/>
      <c r="EY35" s="432"/>
      <c r="EZ35" s="432"/>
      <c r="FA35" s="432"/>
      <c r="FB35" s="432"/>
      <c r="FC35" s="432"/>
      <c r="FD35" s="432"/>
      <c r="FE35" s="432"/>
      <c r="FF35" s="432"/>
      <c r="FG35" s="432"/>
      <c r="FH35" s="432"/>
      <c r="FI35" s="432"/>
    </row>
    <row r="36" spans="1:165" s="432" customFormat="1" hidden="1">
      <c r="A36" s="444" t="str">
        <f>Op_Costs!C28</f>
        <v>Other Taxes &amp; Insurance</v>
      </c>
      <c r="B36" s="431" t="str">
        <f>IF(Deal_Overview!$V$17&gt;0,G36/Deal_Overview!$V$17,"")</f>
        <v/>
      </c>
      <c r="C36" s="445">
        <f>Op_Costs!J28</f>
        <v>0.03</v>
      </c>
      <c r="D36" s="698">
        <f>Op_Costs!D28</f>
        <v>0</v>
      </c>
      <c r="E36" s="698">
        <f>Op_Costs!E28</f>
        <v>0</v>
      </c>
      <c r="F36" s="698">
        <f>Op_Costs!F28</f>
        <v>0</v>
      </c>
      <c r="G36" s="297">
        <f>Op_Costs!G28</f>
        <v>0</v>
      </c>
      <c r="H36" s="431">
        <f>G36*(1+$C36)</f>
        <v>0</v>
      </c>
      <c r="I36" s="431">
        <f t="shared" si="15"/>
        <v>0</v>
      </c>
      <c r="J36" s="431">
        <f t="shared" si="15"/>
        <v>0</v>
      </c>
      <c r="K36" s="431">
        <f t="shared" si="15"/>
        <v>0</v>
      </c>
      <c r="L36" s="431">
        <f t="shared" si="15"/>
        <v>0</v>
      </c>
      <c r="M36" s="431">
        <f t="shared" si="15"/>
        <v>0</v>
      </c>
      <c r="N36" s="431">
        <f t="shared" si="15"/>
        <v>0</v>
      </c>
      <c r="O36" s="431">
        <f t="shared" si="15"/>
        <v>0</v>
      </c>
      <c r="P36" s="431">
        <f t="shared" si="15"/>
        <v>0</v>
      </c>
      <c r="Q36" s="431">
        <f t="shared" si="15"/>
        <v>0</v>
      </c>
      <c r="R36" s="431">
        <f t="shared" si="15"/>
        <v>0</v>
      </c>
      <c r="S36" s="431">
        <f t="shared" si="15"/>
        <v>0</v>
      </c>
      <c r="T36" s="431">
        <f t="shared" si="15"/>
        <v>0</v>
      </c>
      <c r="U36" s="431">
        <f t="shared" si="15"/>
        <v>0</v>
      </c>
      <c r="V36" s="431">
        <f t="shared" si="15"/>
        <v>0</v>
      </c>
      <c r="W36" s="431">
        <f t="shared" si="15"/>
        <v>0</v>
      </c>
      <c r="X36" s="431">
        <f t="shared" si="15"/>
        <v>0</v>
      </c>
      <c r="Y36" s="431">
        <f t="shared" si="15"/>
        <v>0</v>
      </c>
      <c r="Z36" s="431">
        <f t="shared" si="15"/>
        <v>0</v>
      </c>
      <c r="AA36" s="431">
        <f t="shared" si="15"/>
        <v>0</v>
      </c>
      <c r="AB36" s="431">
        <f t="shared" si="15"/>
        <v>0</v>
      </c>
      <c r="AC36" s="431">
        <f t="shared" si="15"/>
        <v>0</v>
      </c>
      <c r="AD36" s="431">
        <f t="shared" si="15"/>
        <v>0</v>
      </c>
      <c r="AE36" s="431">
        <f t="shared" si="15"/>
        <v>0</v>
      </c>
      <c r="AF36" s="431">
        <f t="shared" si="15"/>
        <v>0</v>
      </c>
      <c r="AG36" s="431">
        <f t="shared" si="15"/>
        <v>0</v>
      </c>
      <c r="AH36" s="431">
        <f t="shared" si="15"/>
        <v>0</v>
      </c>
      <c r="AI36" s="431">
        <f t="shared" si="15"/>
        <v>0</v>
      </c>
      <c r="AJ36" s="431">
        <f t="shared" si="15"/>
        <v>0</v>
      </c>
      <c r="AK36" s="431">
        <f t="shared" si="15"/>
        <v>0</v>
      </c>
      <c r="AL36" s="431">
        <f t="shared" si="15"/>
        <v>0</v>
      </c>
      <c r="AM36" s="431">
        <f t="shared" si="15"/>
        <v>0</v>
      </c>
      <c r="AN36" s="431">
        <f t="shared" si="15"/>
        <v>0</v>
      </c>
      <c r="AO36" s="431">
        <f t="shared" si="15"/>
        <v>0</v>
      </c>
      <c r="AP36" s="431">
        <f t="shared" si="15"/>
        <v>0</v>
      </c>
      <c r="AQ36" s="431">
        <f t="shared" si="15"/>
        <v>0</v>
      </c>
      <c r="AR36" s="431">
        <f t="shared" si="15"/>
        <v>0</v>
      </c>
      <c r="AS36" s="431">
        <f t="shared" si="15"/>
        <v>0</v>
      </c>
      <c r="AT36" s="431">
        <f t="shared" si="15"/>
        <v>0</v>
      </c>
      <c r="AU36" s="431"/>
      <c r="AV36" s="431"/>
      <c r="AW36" s="431"/>
      <c r="AX36" s="431"/>
      <c r="AY36" s="431"/>
      <c r="AZ36" s="431"/>
      <c r="BA36" s="431"/>
    </row>
    <row r="37" spans="1:165" s="450" customFormat="1">
      <c r="A37" s="447" t="str">
        <f>Op_Costs!B29</f>
        <v>Taxes &amp; Insurance Subtotal</v>
      </c>
      <c r="B37" s="448" t="str">
        <f>IF(Deal_Overview!$V$17&gt;0,G37/Deal_Overview!$V$17,"")</f>
        <v/>
      </c>
      <c r="C37" s="449"/>
      <c r="D37" s="699">
        <f t="shared" ref="D37:AT37" si="16">SUM(D33:D36)</f>
        <v>0</v>
      </c>
      <c r="E37" s="699">
        <f t="shared" si="16"/>
        <v>0</v>
      </c>
      <c r="F37" s="699">
        <f t="shared" si="16"/>
        <v>0</v>
      </c>
      <c r="G37" s="448">
        <f t="shared" si="16"/>
        <v>0</v>
      </c>
      <c r="H37" s="448">
        <f t="shared" si="16"/>
        <v>0</v>
      </c>
      <c r="I37" s="448">
        <f t="shared" si="16"/>
        <v>0</v>
      </c>
      <c r="J37" s="448">
        <f t="shared" si="16"/>
        <v>0</v>
      </c>
      <c r="K37" s="448">
        <f t="shared" si="16"/>
        <v>0</v>
      </c>
      <c r="L37" s="448">
        <f t="shared" si="16"/>
        <v>0</v>
      </c>
      <c r="M37" s="448">
        <f t="shared" si="16"/>
        <v>0</v>
      </c>
      <c r="N37" s="448">
        <f t="shared" si="16"/>
        <v>0</v>
      </c>
      <c r="O37" s="448">
        <f t="shared" si="16"/>
        <v>0</v>
      </c>
      <c r="P37" s="448">
        <f t="shared" si="16"/>
        <v>0</v>
      </c>
      <c r="Q37" s="448">
        <f t="shared" si="16"/>
        <v>0</v>
      </c>
      <c r="R37" s="448">
        <f t="shared" si="16"/>
        <v>0</v>
      </c>
      <c r="S37" s="448">
        <f t="shared" si="16"/>
        <v>0</v>
      </c>
      <c r="T37" s="448">
        <f t="shared" si="16"/>
        <v>0</v>
      </c>
      <c r="U37" s="448">
        <f t="shared" si="16"/>
        <v>0</v>
      </c>
      <c r="V37" s="448">
        <f t="shared" si="16"/>
        <v>0</v>
      </c>
      <c r="W37" s="448">
        <f t="shared" si="16"/>
        <v>0</v>
      </c>
      <c r="X37" s="448">
        <f t="shared" si="16"/>
        <v>0</v>
      </c>
      <c r="Y37" s="448">
        <f t="shared" si="16"/>
        <v>0</v>
      </c>
      <c r="Z37" s="448">
        <f t="shared" si="16"/>
        <v>0</v>
      </c>
      <c r="AA37" s="448">
        <f t="shared" si="16"/>
        <v>0</v>
      </c>
      <c r="AB37" s="448">
        <f t="shared" si="16"/>
        <v>0</v>
      </c>
      <c r="AC37" s="448">
        <f t="shared" si="16"/>
        <v>0</v>
      </c>
      <c r="AD37" s="448">
        <f t="shared" si="16"/>
        <v>0</v>
      </c>
      <c r="AE37" s="448">
        <f t="shared" si="16"/>
        <v>0</v>
      </c>
      <c r="AF37" s="448">
        <f t="shared" si="16"/>
        <v>0</v>
      </c>
      <c r="AG37" s="448">
        <f t="shared" si="16"/>
        <v>0</v>
      </c>
      <c r="AH37" s="448">
        <f t="shared" si="16"/>
        <v>0</v>
      </c>
      <c r="AI37" s="448">
        <f t="shared" si="16"/>
        <v>0</v>
      </c>
      <c r="AJ37" s="448">
        <f t="shared" si="16"/>
        <v>0</v>
      </c>
      <c r="AK37" s="448">
        <f t="shared" si="16"/>
        <v>0</v>
      </c>
      <c r="AL37" s="448">
        <f t="shared" si="16"/>
        <v>0</v>
      </c>
      <c r="AM37" s="448">
        <f t="shared" si="16"/>
        <v>0</v>
      </c>
      <c r="AN37" s="448">
        <f t="shared" si="16"/>
        <v>0</v>
      </c>
      <c r="AO37" s="448">
        <f t="shared" si="16"/>
        <v>0</v>
      </c>
      <c r="AP37" s="448">
        <f t="shared" si="16"/>
        <v>0</v>
      </c>
      <c r="AQ37" s="448">
        <f t="shared" si="16"/>
        <v>0</v>
      </c>
      <c r="AR37" s="448">
        <f t="shared" si="16"/>
        <v>0</v>
      </c>
      <c r="AS37" s="448">
        <f t="shared" si="16"/>
        <v>0</v>
      </c>
      <c r="AT37" s="448">
        <f t="shared" si="16"/>
        <v>0</v>
      </c>
      <c r="AU37" s="448"/>
      <c r="AV37" s="448"/>
      <c r="AW37" s="448"/>
      <c r="AX37" s="448"/>
      <c r="AY37" s="448"/>
      <c r="AZ37" s="448"/>
      <c r="BA37" s="448"/>
    </row>
    <row r="38" spans="1:165" s="298" customFormat="1" hidden="1">
      <c r="A38" s="429" t="str">
        <f>Op_Costs!C30</f>
        <v>General Maintenance</v>
      </c>
      <c r="B38" s="297" t="str">
        <f>IF(Deal_Overview!$V$17&gt;0,G38/Deal_Overview!$V$17,"")</f>
        <v/>
      </c>
      <c r="C38" s="430">
        <f>Op_Costs!J30</f>
        <v>0.03</v>
      </c>
      <c r="D38" s="698">
        <f>Op_Costs!D30</f>
        <v>0</v>
      </c>
      <c r="E38" s="698">
        <f>Op_Costs!E30</f>
        <v>0</v>
      </c>
      <c r="F38" s="698">
        <f>Op_Costs!F30</f>
        <v>0</v>
      </c>
      <c r="G38" s="297">
        <f>Op_Costs!G30</f>
        <v>0</v>
      </c>
      <c r="H38" s="431">
        <f t="shared" ref="H38:AT44" si="17">G38*(1+$C38)</f>
        <v>0</v>
      </c>
      <c r="I38" s="431">
        <f t="shared" si="17"/>
        <v>0</v>
      </c>
      <c r="J38" s="431">
        <f t="shared" si="17"/>
        <v>0</v>
      </c>
      <c r="K38" s="431">
        <f t="shared" si="17"/>
        <v>0</v>
      </c>
      <c r="L38" s="431">
        <f t="shared" si="17"/>
        <v>0</v>
      </c>
      <c r="M38" s="431">
        <f t="shared" si="17"/>
        <v>0</v>
      </c>
      <c r="N38" s="431">
        <f t="shared" si="17"/>
        <v>0</v>
      </c>
      <c r="O38" s="431">
        <f t="shared" si="17"/>
        <v>0</v>
      </c>
      <c r="P38" s="431">
        <f t="shared" si="17"/>
        <v>0</v>
      </c>
      <c r="Q38" s="431">
        <f t="shared" si="17"/>
        <v>0</v>
      </c>
      <c r="R38" s="431">
        <f t="shared" si="17"/>
        <v>0</v>
      </c>
      <c r="S38" s="431">
        <f t="shared" si="17"/>
        <v>0</v>
      </c>
      <c r="T38" s="431">
        <f t="shared" si="17"/>
        <v>0</v>
      </c>
      <c r="U38" s="431">
        <f t="shared" si="17"/>
        <v>0</v>
      </c>
      <c r="V38" s="431">
        <f t="shared" si="17"/>
        <v>0</v>
      </c>
      <c r="W38" s="431">
        <f t="shared" si="17"/>
        <v>0</v>
      </c>
      <c r="X38" s="431">
        <f t="shared" si="17"/>
        <v>0</v>
      </c>
      <c r="Y38" s="431">
        <f t="shared" si="17"/>
        <v>0</v>
      </c>
      <c r="Z38" s="431">
        <f t="shared" si="17"/>
        <v>0</v>
      </c>
      <c r="AA38" s="431">
        <f t="shared" si="17"/>
        <v>0</v>
      </c>
      <c r="AB38" s="431">
        <f t="shared" si="17"/>
        <v>0</v>
      </c>
      <c r="AC38" s="431">
        <f t="shared" si="17"/>
        <v>0</v>
      </c>
      <c r="AD38" s="431">
        <f t="shared" si="17"/>
        <v>0</v>
      </c>
      <c r="AE38" s="431">
        <f t="shared" si="17"/>
        <v>0</v>
      </c>
      <c r="AF38" s="431">
        <f t="shared" si="17"/>
        <v>0</v>
      </c>
      <c r="AG38" s="431">
        <f t="shared" si="17"/>
        <v>0</v>
      </c>
      <c r="AH38" s="431">
        <f t="shared" si="17"/>
        <v>0</v>
      </c>
      <c r="AI38" s="431">
        <f t="shared" si="17"/>
        <v>0</v>
      </c>
      <c r="AJ38" s="431">
        <f t="shared" si="17"/>
        <v>0</v>
      </c>
      <c r="AK38" s="431">
        <f t="shared" si="17"/>
        <v>0</v>
      </c>
      <c r="AL38" s="431">
        <f t="shared" si="17"/>
        <v>0</v>
      </c>
      <c r="AM38" s="431">
        <f t="shared" si="17"/>
        <v>0</v>
      </c>
      <c r="AN38" s="431">
        <f t="shared" si="17"/>
        <v>0</v>
      </c>
      <c r="AO38" s="431">
        <f t="shared" si="17"/>
        <v>0</v>
      </c>
      <c r="AP38" s="431">
        <f t="shared" si="17"/>
        <v>0</v>
      </c>
      <c r="AQ38" s="431">
        <f t="shared" si="17"/>
        <v>0</v>
      </c>
      <c r="AR38" s="431">
        <f t="shared" si="17"/>
        <v>0</v>
      </c>
      <c r="AS38" s="431">
        <f t="shared" si="17"/>
        <v>0</v>
      </c>
      <c r="AT38" s="431">
        <f t="shared" si="17"/>
        <v>0</v>
      </c>
      <c r="AU38" s="431"/>
      <c r="AV38" s="431"/>
      <c r="AW38" s="431"/>
      <c r="AX38" s="431"/>
      <c r="AY38" s="431"/>
      <c r="AZ38" s="431"/>
      <c r="BA38" s="431"/>
      <c r="BB38" s="432"/>
      <c r="BC38" s="432"/>
      <c r="BD38" s="432"/>
      <c r="BE38" s="432"/>
      <c r="BF38" s="432"/>
      <c r="BG38" s="432"/>
      <c r="BH38" s="432"/>
      <c r="BI38" s="432"/>
      <c r="BJ38" s="432"/>
      <c r="BK38" s="432"/>
      <c r="BL38" s="432"/>
      <c r="BM38" s="432"/>
      <c r="BN38" s="432"/>
      <c r="BO38" s="432"/>
      <c r="BP38" s="432"/>
      <c r="BQ38" s="432"/>
      <c r="BR38" s="432"/>
      <c r="BS38" s="432"/>
      <c r="BT38" s="432"/>
      <c r="BU38" s="432"/>
      <c r="BV38" s="432"/>
      <c r="BW38" s="432"/>
      <c r="BX38" s="432"/>
      <c r="BY38" s="432"/>
      <c r="BZ38" s="432"/>
      <c r="CA38" s="432"/>
      <c r="CB38" s="432"/>
      <c r="CC38" s="432"/>
      <c r="CD38" s="432"/>
      <c r="CE38" s="432"/>
      <c r="CF38" s="432"/>
      <c r="CG38" s="432"/>
      <c r="CH38" s="432"/>
      <c r="CI38" s="432"/>
      <c r="CJ38" s="432"/>
      <c r="CK38" s="432"/>
      <c r="CL38" s="432"/>
      <c r="CM38" s="432"/>
      <c r="CN38" s="432"/>
      <c r="CO38" s="432"/>
      <c r="CP38" s="432"/>
      <c r="CQ38" s="432"/>
      <c r="CR38" s="432"/>
      <c r="CS38" s="432"/>
      <c r="CT38" s="432"/>
      <c r="CU38" s="432"/>
      <c r="CV38" s="432"/>
      <c r="CW38" s="432"/>
      <c r="CX38" s="432"/>
      <c r="CY38" s="432"/>
      <c r="CZ38" s="432"/>
      <c r="DA38" s="432"/>
      <c r="DB38" s="432"/>
      <c r="DC38" s="432"/>
      <c r="DD38" s="432"/>
      <c r="DE38" s="432"/>
      <c r="DF38" s="432"/>
      <c r="DG38" s="432"/>
      <c r="DH38" s="432"/>
      <c r="DI38" s="432"/>
      <c r="DJ38" s="432"/>
      <c r="DK38" s="432"/>
      <c r="DL38" s="432"/>
      <c r="DM38" s="432"/>
      <c r="DN38" s="432"/>
      <c r="DO38" s="432"/>
      <c r="DP38" s="432"/>
      <c r="DQ38" s="432"/>
      <c r="DR38" s="432"/>
      <c r="DS38" s="432"/>
      <c r="DT38" s="432"/>
      <c r="DU38" s="432"/>
      <c r="DV38" s="432"/>
      <c r="DW38" s="432"/>
      <c r="DX38" s="432"/>
      <c r="DY38" s="432"/>
      <c r="DZ38" s="432"/>
      <c r="EA38" s="432"/>
      <c r="EB38" s="432"/>
      <c r="EC38" s="432"/>
      <c r="ED38" s="432"/>
      <c r="EE38" s="432"/>
      <c r="EF38" s="432"/>
      <c r="EG38" s="432"/>
      <c r="EH38" s="432"/>
      <c r="EI38" s="432"/>
      <c r="EJ38" s="432"/>
      <c r="EK38" s="432"/>
      <c r="EL38" s="432"/>
      <c r="EM38" s="432"/>
      <c r="EN38" s="432"/>
      <c r="EO38" s="432"/>
      <c r="EP38" s="432"/>
      <c r="EQ38" s="432"/>
      <c r="ER38" s="432"/>
      <c r="ES38" s="432"/>
      <c r="ET38" s="432"/>
      <c r="EU38" s="432"/>
      <c r="EV38" s="432"/>
      <c r="EW38" s="432"/>
      <c r="EX38" s="432"/>
      <c r="EY38" s="432"/>
      <c r="EZ38" s="432"/>
      <c r="FA38" s="432"/>
      <c r="FB38" s="432"/>
      <c r="FC38" s="432"/>
      <c r="FD38" s="432"/>
      <c r="FE38" s="432"/>
      <c r="FF38" s="432"/>
      <c r="FG38" s="432"/>
      <c r="FH38" s="432"/>
      <c r="FI38" s="432"/>
    </row>
    <row r="39" spans="1:165" s="298" customFormat="1" hidden="1">
      <c r="A39" s="429" t="str">
        <f>Op_Costs!C31</f>
        <v>Pest Control</v>
      </c>
      <c r="B39" s="297" t="str">
        <f>IF(Deal_Overview!$V$17&gt;0,G39/Deal_Overview!$V$17,"")</f>
        <v/>
      </c>
      <c r="C39" s="430">
        <f>Op_Costs!J31</f>
        <v>0.03</v>
      </c>
      <c r="D39" s="698">
        <f>Op_Costs!D31</f>
        <v>0</v>
      </c>
      <c r="E39" s="698">
        <f>Op_Costs!E31</f>
        <v>0</v>
      </c>
      <c r="F39" s="698">
        <f>Op_Costs!F31</f>
        <v>0</v>
      </c>
      <c r="G39" s="297">
        <f>Op_Costs!G31</f>
        <v>0</v>
      </c>
      <c r="H39" s="431">
        <f t="shared" si="17"/>
        <v>0</v>
      </c>
      <c r="I39" s="431">
        <f t="shared" si="17"/>
        <v>0</v>
      </c>
      <c r="J39" s="431">
        <f t="shared" si="17"/>
        <v>0</v>
      </c>
      <c r="K39" s="431">
        <f t="shared" si="17"/>
        <v>0</v>
      </c>
      <c r="L39" s="431">
        <f t="shared" si="17"/>
        <v>0</v>
      </c>
      <c r="M39" s="431">
        <f t="shared" si="17"/>
        <v>0</v>
      </c>
      <c r="N39" s="431">
        <f t="shared" si="17"/>
        <v>0</v>
      </c>
      <c r="O39" s="431">
        <f t="shared" si="17"/>
        <v>0</v>
      </c>
      <c r="P39" s="431">
        <f t="shared" si="17"/>
        <v>0</v>
      </c>
      <c r="Q39" s="431">
        <f t="shared" si="17"/>
        <v>0</v>
      </c>
      <c r="R39" s="431">
        <f t="shared" si="17"/>
        <v>0</v>
      </c>
      <c r="S39" s="431">
        <f t="shared" si="17"/>
        <v>0</v>
      </c>
      <c r="T39" s="431">
        <f t="shared" si="17"/>
        <v>0</v>
      </c>
      <c r="U39" s="431">
        <f t="shared" si="17"/>
        <v>0</v>
      </c>
      <c r="V39" s="431">
        <f t="shared" si="17"/>
        <v>0</v>
      </c>
      <c r="W39" s="431">
        <f t="shared" si="17"/>
        <v>0</v>
      </c>
      <c r="X39" s="431">
        <f t="shared" si="17"/>
        <v>0</v>
      </c>
      <c r="Y39" s="431">
        <f t="shared" si="17"/>
        <v>0</v>
      </c>
      <c r="Z39" s="431">
        <f t="shared" si="17"/>
        <v>0</v>
      </c>
      <c r="AA39" s="431">
        <f t="shared" si="17"/>
        <v>0</v>
      </c>
      <c r="AB39" s="431">
        <f t="shared" si="17"/>
        <v>0</v>
      </c>
      <c r="AC39" s="431">
        <f t="shared" si="17"/>
        <v>0</v>
      </c>
      <c r="AD39" s="431">
        <f t="shared" si="17"/>
        <v>0</v>
      </c>
      <c r="AE39" s="431">
        <f t="shared" si="17"/>
        <v>0</v>
      </c>
      <c r="AF39" s="431">
        <f t="shared" si="17"/>
        <v>0</v>
      </c>
      <c r="AG39" s="431">
        <f t="shared" si="17"/>
        <v>0</v>
      </c>
      <c r="AH39" s="431">
        <f t="shared" si="17"/>
        <v>0</v>
      </c>
      <c r="AI39" s="431">
        <f t="shared" si="17"/>
        <v>0</v>
      </c>
      <c r="AJ39" s="431">
        <f t="shared" si="17"/>
        <v>0</v>
      </c>
      <c r="AK39" s="431">
        <f t="shared" si="17"/>
        <v>0</v>
      </c>
      <c r="AL39" s="431">
        <f t="shared" si="17"/>
        <v>0</v>
      </c>
      <c r="AM39" s="431">
        <f t="shared" si="17"/>
        <v>0</v>
      </c>
      <c r="AN39" s="431">
        <f t="shared" si="17"/>
        <v>0</v>
      </c>
      <c r="AO39" s="431">
        <f t="shared" si="17"/>
        <v>0</v>
      </c>
      <c r="AP39" s="431">
        <f t="shared" si="17"/>
        <v>0</v>
      </c>
      <c r="AQ39" s="431">
        <f t="shared" si="17"/>
        <v>0</v>
      </c>
      <c r="AR39" s="431">
        <f t="shared" si="17"/>
        <v>0</v>
      </c>
      <c r="AS39" s="431">
        <f t="shared" si="17"/>
        <v>0</v>
      </c>
      <c r="AT39" s="431">
        <f t="shared" si="17"/>
        <v>0</v>
      </c>
      <c r="AU39" s="431"/>
      <c r="AV39" s="431"/>
      <c r="AW39" s="431"/>
      <c r="AX39" s="431"/>
      <c r="AY39" s="431"/>
      <c r="AZ39" s="431"/>
      <c r="BA39" s="431"/>
      <c r="BB39" s="432"/>
      <c r="BC39" s="432"/>
      <c r="BD39" s="432"/>
      <c r="BE39" s="432"/>
      <c r="BF39" s="432"/>
      <c r="BG39" s="432"/>
      <c r="BH39" s="432"/>
      <c r="BI39" s="432"/>
      <c r="BJ39" s="432"/>
      <c r="BK39" s="432"/>
      <c r="BL39" s="432"/>
      <c r="BM39" s="432"/>
      <c r="BN39" s="432"/>
      <c r="BO39" s="432"/>
      <c r="BP39" s="432"/>
      <c r="BQ39" s="432"/>
      <c r="BR39" s="432"/>
      <c r="BS39" s="432"/>
      <c r="BT39" s="432"/>
      <c r="BU39" s="432"/>
      <c r="BV39" s="432"/>
      <c r="BW39" s="432"/>
      <c r="BX39" s="432"/>
      <c r="BY39" s="432"/>
      <c r="BZ39" s="432"/>
      <c r="CA39" s="432"/>
      <c r="CB39" s="432"/>
      <c r="CC39" s="432"/>
      <c r="CD39" s="432"/>
      <c r="CE39" s="432"/>
      <c r="CF39" s="432"/>
      <c r="CG39" s="432"/>
      <c r="CH39" s="432"/>
      <c r="CI39" s="432"/>
      <c r="CJ39" s="432"/>
      <c r="CK39" s="432"/>
      <c r="CL39" s="432"/>
      <c r="CM39" s="432"/>
      <c r="CN39" s="432"/>
      <c r="CO39" s="432"/>
      <c r="CP39" s="432"/>
      <c r="CQ39" s="432"/>
      <c r="CR39" s="432"/>
      <c r="CS39" s="432"/>
      <c r="CT39" s="432"/>
      <c r="CU39" s="432"/>
      <c r="CV39" s="432"/>
      <c r="CW39" s="432"/>
      <c r="CX39" s="432"/>
      <c r="CY39" s="432"/>
      <c r="CZ39" s="432"/>
      <c r="DA39" s="432"/>
      <c r="DB39" s="432"/>
      <c r="DC39" s="432"/>
      <c r="DD39" s="432"/>
      <c r="DE39" s="432"/>
      <c r="DF39" s="432"/>
      <c r="DG39" s="432"/>
      <c r="DH39" s="432"/>
      <c r="DI39" s="432"/>
      <c r="DJ39" s="432"/>
      <c r="DK39" s="432"/>
      <c r="DL39" s="432"/>
      <c r="DM39" s="432"/>
      <c r="DN39" s="432"/>
      <c r="DO39" s="432"/>
      <c r="DP39" s="432"/>
      <c r="DQ39" s="432"/>
      <c r="DR39" s="432"/>
      <c r="DS39" s="432"/>
      <c r="DT39" s="432"/>
      <c r="DU39" s="432"/>
      <c r="DV39" s="432"/>
      <c r="DW39" s="432"/>
      <c r="DX39" s="432"/>
      <c r="DY39" s="432"/>
      <c r="DZ39" s="432"/>
      <c r="EA39" s="432"/>
      <c r="EB39" s="432"/>
      <c r="EC39" s="432"/>
      <c r="ED39" s="432"/>
      <c r="EE39" s="432"/>
      <c r="EF39" s="432"/>
      <c r="EG39" s="432"/>
      <c r="EH39" s="432"/>
      <c r="EI39" s="432"/>
      <c r="EJ39" s="432"/>
      <c r="EK39" s="432"/>
      <c r="EL39" s="432"/>
      <c r="EM39" s="432"/>
      <c r="EN39" s="432"/>
      <c r="EO39" s="432"/>
      <c r="EP39" s="432"/>
      <c r="EQ39" s="432"/>
      <c r="ER39" s="432"/>
      <c r="ES39" s="432"/>
      <c r="ET39" s="432"/>
      <c r="EU39" s="432"/>
      <c r="EV39" s="432"/>
      <c r="EW39" s="432"/>
      <c r="EX39" s="432"/>
      <c r="EY39" s="432"/>
      <c r="EZ39" s="432"/>
      <c r="FA39" s="432"/>
      <c r="FB39" s="432"/>
      <c r="FC39" s="432"/>
      <c r="FD39" s="432"/>
      <c r="FE39" s="432"/>
      <c r="FF39" s="432"/>
      <c r="FG39" s="432"/>
      <c r="FH39" s="432"/>
      <c r="FI39" s="432"/>
    </row>
    <row r="40" spans="1:165" s="298" customFormat="1" hidden="1">
      <c r="A40" s="429" t="str">
        <f>Op_Costs!C32</f>
        <v>Scavenger Service</v>
      </c>
      <c r="B40" s="297" t="str">
        <f>IF(Deal_Overview!$V$17&gt;0,G40/Deal_Overview!$V$17,"")</f>
        <v/>
      </c>
      <c r="C40" s="430">
        <f>Op_Costs!J32</f>
        <v>0.03</v>
      </c>
      <c r="D40" s="698">
        <f>Op_Costs!D32</f>
        <v>0</v>
      </c>
      <c r="E40" s="698">
        <f>Op_Costs!E32</f>
        <v>0</v>
      </c>
      <c r="F40" s="698">
        <f>Op_Costs!F32</f>
        <v>0</v>
      </c>
      <c r="G40" s="297">
        <f>Op_Costs!G32</f>
        <v>0</v>
      </c>
      <c r="H40" s="431">
        <f t="shared" si="17"/>
        <v>0</v>
      </c>
      <c r="I40" s="431">
        <f t="shared" si="17"/>
        <v>0</v>
      </c>
      <c r="J40" s="431">
        <f t="shared" si="17"/>
        <v>0</v>
      </c>
      <c r="K40" s="431">
        <f t="shared" si="17"/>
        <v>0</v>
      </c>
      <c r="L40" s="431">
        <f t="shared" si="17"/>
        <v>0</v>
      </c>
      <c r="M40" s="431">
        <f t="shared" si="17"/>
        <v>0</v>
      </c>
      <c r="N40" s="431">
        <f t="shared" si="17"/>
        <v>0</v>
      </c>
      <c r="O40" s="431">
        <f t="shared" si="17"/>
        <v>0</v>
      </c>
      <c r="P40" s="431">
        <f t="shared" si="17"/>
        <v>0</v>
      </c>
      <c r="Q40" s="431">
        <f t="shared" si="17"/>
        <v>0</v>
      </c>
      <c r="R40" s="431">
        <f t="shared" si="17"/>
        <v>0</v>
      </c>
      <c r="S40" s="431">
        <f t="shared" si="17"/>
        <v>0</v>
      </c>
      <c r="T40" s="431">
        <f t="shared" si="17"/>
        <v>0</v>
      </c>
      <c r="U40" s="431">
        <f t="shared" si="17"/>
        <v>0</v>
      </c>
      <c r="V40" s="431">
        <f t="shared" si="17"/>
        <v>0</v>
      </c>
      <c r="W40" s="431">
        <f t="shared" si="17"/>
        <v>0</v>
      </c>
      <c r="X40" s="431">
        <f t="shared" si="17"/>
        <v>0</v>
      </c>
      <c r="Y40" s="431">
        <f t="shared" si="17"/>
        <v>0</v>
      </c>
      <c r="Z40" s="431">
        <f t="shared" si="17"/>
        <v>0</v>
      </c>
      <c r="AA40" s="431">
        <f t="shared" si="17"/>
        <v>0</v>
      </c>
      <c r="AB40" s="431">
        <f t="shared" si="17"/>
        <v>0</v>
      </c>
      <c r="AC40" s="431">
        <f t="shared" si="17"/>
        <v>0</v>
      </c>
      <c r="AD40" s="431">
        <f t="shared" si="17"/>
        <v>0</v>
      </c>
      <c r="AE40" s="431">
        <f t="shared" si="17"/>
        <v>0</v>
      </c>
      <c r="AF40" s="431">
        <f t="shared" si="17"/>
        <v>0</v>
      </c>
      <c r="AG40" s="431">
        <f t="shared" si="17"/>
        <v>0</v>
      </c>
      <c r="AH40" s="431">
        <f t="shared" si="17"/>
        <v>0</v>
      </c>
      <c r="AI40" s="431">
        <f t="shared" si="17"/>
        <v>0</v>
      </c>
      <c r="AJ40" s="431">
        <f t="shared" si="17"/>
        <v>0</v>
      </c>
      <c r="AK40" s="431">
        <f t="shared" si="17"/>
        <v>0</v>
      </c>
      <c r="AL40" s="431">
        <f t="shared" si="17"/>
        <v>0</v>
      </c>
      <c r="AM40" s="431">
        <f t="shared" si="17"/>
        <v>0</v>
      </c>
      <c r="AN40" s="431">
        <f t="shared" si="17"/>
        <v>0</v>
      </c>
      <c r="AO40" s="431">
        <f t="shared" si="17"/>
        <v>0</v>
      </c>
      <c r="AP40" s="431">
        <f t="shared" si="17"/>
        <v>0</v>
      </c>
      <c r="AQ40" s="431">
        <f t="shared" si="17"/>
        <v>0</v>
      </c>
      <c r="AR40" s="431">
        <f t="shared" si="17"/>
        <v>0</v>
      </c>
      <c r="AS40" s="431">
        <f t="shared" si="17"/>
        <v>0</v>
      </c>
      <c r="AT40" s="431">
        <f t="shared" si="17"/>
        <v>0</v>
      </c>
      <c r="AU40" s="431"/>
      <c r="AV40" s="431"/>
      <c r="AW40" s="431"/>
      <c r="AX40" s="431"/>
      <c r="AY40" s="431"/>
      <c r="AZ40" s="431"/>
      <c r="BA40" s="431"/>
      <c r="BB40" s="432"/>
      <c r="BC40" s="432"/>
      <c r="BD40" s="432"/>
      <c r="BE40" s="432"/>
      <c r="BF40" s="432"/>
      <c r="BG40" s="432"/>
      <c r="BH40" s="432"/>
      <c r="BI40" s="432"/>
      <c r="BJ40" s="432"/>
      <c r="BK40" s="432"/>
      <c r="BL40" s="432"/>
      <c r="BM40" s="432"/>
      <c r="BN40" s="432"/>
      <c r="BO40" s="432"/>
      <c r="BP40" s="432"/>
      <c r="BQ40" s="432"/>
      <c r="BR40" s="432"/>
      <c r="BS40" s="432"/>
      <c r="BT40" s="432"/>
      <c r="BU40" s="432"/>
      <c r="BV40" s="432"/>
      <c r="BW40" s="432"/>
      <c r="BX40" s="432"/>
      <c r="BY40" s="432"/>
      <c r="BZ40" s="432"/>
      <c r="CA40" s="432"/>
      <c r="CB40" s="432"/>
      <c r="CC40" s="432"/>
      <c r="CD40" s="432"/>
      <c r="CE40" s="432"/>
      <c r="CF40" s="432"/>
      <c r="CG40" s="432"/>
      <c r="CH40" s="432"/>
      <c r="CI40" s="432"/>
      <c r="CJ40" s="432"/>
      <c r="CK40" s="432"/>
      <c r="CL40" s="432"/>
      <c r="CM40" s="432"/>
      <c r="CN40" s="432"/>
      <c r="CO40" s="432"/>
      <c r="CP40" s="432"/>
      <c r="CQ40" s="432"/>
      <c r="CR40" s="432"/>
      <c r="CS40" s="432"/>
      <c r="CT40" s="432"/>
      <c r="CU40" s="432"/>
      <c r="CV40" s="432"/>
      <c r="CW40" s="432"/>
      <c r="CX40" s="432"/>
      <c r="CY40" s="432"/>
      <c r="CZ40" s="432"/>
      <c r="DA40" s="432"/>
      <c r="DB40" s="432"/>
      <c r="DC40" s="432"/>
      <c r="DD40" s="432"/>
      <c r="DE40" s="432"/>
      <c r="DF40" s="432"/>
      <c r="DG40" s="432"/>
      <c r="DH40" s="432"/>
      <c r="DI40" s="432"/>
      <c r="DJ40" s="432"/>
      <c r="DK40" s="432"/>
      <c r="DL40" s="432"/>
      <c r="DM40" s="432"/>
      <c r="DN40" s="432"/>
      <c r="DO40" s="432"/>
      <c r="DP40" s="432"/>
      <c r="DQ40" s="432"/>
      <c r="DR40" s="432"/>
      <c r="DS40" s="432"/>
      <c r="DT40" s="432"/>
      <c r="DU40" s="432"/>
      <c r="DV40" s="432"/>
      <c r="DW40" s="432"/>
      <c r="DX40" s="432"/>
      <c r="DY40" s="432"/>
      <c r="DZ40" s="432"/>
      <c r="EA40" s="432"/>
      <c r="EB40" s="432"/>
      <c r="EC40" s="432"/>
      <c r="ED40" s="432"/>
      <c r="EE40" s="432"/>
      <c r="EF40" s="432"/>
      <c r="EG40" s="432"/>
      <c r="EH40" s="432"/>
      <c r="EI40" s="432"/>
      <c r="EJ40" s="432"/>
      <c r="EK40" s="432"/>
      <c r="EL40" s="432"/>
      <c r="EM40" s="432"/>
      <c r="EN40" s="432"/>
      <c r="EO40" s="432"/>
      <c r="EP40" s="432"/>
      <c r="EQ40" s="432"/>
      <c r="ER40" s="432"/>
      <c r="ES40" s="432"/>
      <c r="ET40" s="432"/>
      <c r="EU40" s="432"/>
      <c r="EV40" s="432"/>
      <c r="EW40" s="432"/>
      <c r="EX40" s="432"/>
      <c r="EY40" s="432"/>
      <c r="EZ40" s="432"/>
      <c r="FA40" s="432"/>
      <c r="FB40" s="432"/>
      <c r="FC40" s="432"/>
      <c r="FD40" s="432"/>
      <c r="FE40" s="432"/>
      <c r="FF40" s="432"/>
      <c r="FG40" s="432"/>
      <c r="FH40" s="432"/>
      <c r="FI40" s="432"/>
    </row>
    <row r="41" spans="1:165" s="298" customFormat="1" hidden="1">
      <c r="A41" s="429" t="str">
        <f>Op_Costs!C33</f>
        <v xml:space="preserve">Exterior/ Façade </v>
      </c>
      <c r="B41" s="297" t="str">
        <f>IF(Deal_Overview!$V$17&gt;0,G41/Deal_Overview!$V$17,"")</f>
        <v/>
      </c>
      <c r="C41" s="430">
        <f>Op_Costs!J33</f>
        <v>0.03</v>
      </c>
      <c r="D41" s="698">
        <f>Op_Costs!D33</f>
        <v>0</v>
      </c>
      <c r="E41" s="698">
        <f>Op_Costs!E33</f>
        <v>0</v>
      </c>
      <c r="F41" s="698">
        <f>Op_Costs!F33</f>
        <v>0</v>
      </c>
      <c r="G41" s="297">
        <f>Op_Costs!G33</f>
        <v>0</v>
      </c>
      <c r="H41" s="431">
        <f t="shared" si="17"/>
        <v>0</v>
      </c>
      <c r="I41" s="431">
        <f t="shared" si="17"/>
        <v>0</v>
      </c>
      <c r="J41" s="431">
        <f t="shared" si="17"/>
        <v>0</v>
      </c>
      <c r="K41" s="431">
        <f t="shared" si="17"/>
        <v>0</v>
      </c>
      <c r="L41" s="431">
        <f t="shared" si="17"/>
        <v>0</v>
      </c>
      <c r="M41" s="431">
        <f t="shared" si="17"/>
        <v>0</v>
      </c>
      <c r="N41" s="431">
        <f t="shared" si="17"/>
        <v>0</v>
      </c>
      <c r="O41" s="431">
        <f t="shared" si="17"/>
        <v>0</v>
      </c>
      <c r="P41" s="431">
        <f t="shared" si="17"/>
        <v>0</v>
      </c>
      <c r="Q41" s="431">
        <f t="shared" si="17"/>
        <v>0</v>
      </c>
      <c r="R41" s="431">
        <f t="shared" si="17"/>
        <v>0</v>
      </c>
      <c r="S41" s="431">
        <f t="shared" si="17"/>
        <v>0</v>
      </c>
      <c r="T41" s="431">
        <f t="shared" si="17"/>
        <v>0</v>
      </c>
      <c r="U41" s="431">
        <f t="shared" si="17"/>
        <v>0</v>
      </c>
      <c r="V41" s="431">
        <f t="shared" si="17"/>
        <v>0</v>
      </c>
      <c r="W41" s="431">
        <f t="shared" si="17"/>
        <v>0</v>
      </c>
      <c r="X41" s="431">
        <f t="shared" si="17"/>
        <v>0</v>
      </c>
      <c r="Y41" s="431">
        <f t="shared" si="17"/>
        <v>0</v>
      </c>
      <c r="Z41" s="431">
        <f t="shared" si="17"/>
        <v>0</v>
      </c>
      <c r="AA41" s="431">
        <f t="shared" si="17"/>
        <v>0</v>
      </c>
      <c r="AB41" s="431">
        <f t="shared" si="17"/>
        <v>0</v>
      </c>
      <c r="AC41" s="431">
        <f t="shared" si="17"/>
        <v>0</v>
      </c>
      <c r="AD41" s="431">
        <f t="shared" si="17"/>
        <v>0</v>
      </c>
      <c r="AE41" s="431">
        <f t="shared" si="17"/>
        <v>0</v>
      </c>
      <c r="AF41" s="431">
        <f t="shared" si="17"/>
        <v>0</v>
      </c>
      <c r="AG41" s="431">
        <f t="shared" si="17"/>
        <v>0</v>
      </c>
      <c r="AH41" s="431">
        <f t="shared" si="17"/>
        <v>0</v>
      </c>
      <c r="AI41" s="431">
        <f t="shared" si="17"/>
        <v>0</v>
      </c>
      <c r="AJ41" s="431">
        <f t="shared" si="17"/>
        <v>0</v>
      </c>
      <c r="AK41" s="431">
        <f t="shared" si="17"/>
        <v>0</v>
      </c>
      <c r="AL41" s="431">
        <f t="shared" si="17"/>
        <v>0</v>
      </c>
      <c r="AM41" s="431">
        <f t="shared" si="17"/>
        <v>0</v>
      </c>
      <c r="AN41" s="431">
        <f t="shared" si="17"/>
        <v>0</v>
      </c>
      <c r="AO41" s="431">
        <f t="shared" si="17"/>
        <v>0</v>
      </c>
      <c r="AP41" s="431">
        <f t="shared" si="17"/>
        <v>0</v>
      </c>
      <c r="AQ41" s="431">
        <f t="shared" si="17"/>
        <v>0</v>
      </c>
      <c r="AR41" s="431">
        <f t="shared" si="17"/>
        <v>0</v>
      </c>
      <c r="AS41" s="431">
        <f t="shared" si="17"/>
        <v>0</v>
      </c>
      <c r="AT41" s="431">
        <f t="shared" si="17"/>
        <v>0</v>
      </c>
      <c r="AU41" s="431"/>
      <c r="AV41" s="431"/>
      <c r="AW41" s="431"/>
      <c r="AX41" s="431"/>
      <c r="AY41" s="431"/>
      <c r="AZ41" s="431"/>
      <c r="BA41" s="431"/>
      <c r="BB41" s="432"/>
      <c r="BC41" s="432"/>
      <c r="BD41" s="432"/>
      <c r="BE41" s="432"/>
      <c r="BF41" s="432"/>
      <c r="BG41" s="432"/>
      <c r="BH41" s="432"/>
      <c r="BI41" s="432"/>
      <c r="BJ41" s="432"/>
      <c r="BK41" s="432"/>
      <c r="BL41" s="432"/>
      <c r="BM41" s="432"/>
      <c r="BN41" s="432"/>
      <c r="BO41" s="432"/>
      <c r="BP41" s="432"/>
      <c r="BQ41" s="432"/>
      <c r="BR41" s="432"/>
      <c r="BS41" s="432"/>
      <c r="BT41" s="432"/>
      <c r="BU41" s="432"/>
      <c r="BV41" s="432"/>
      <c r="BW41" s="432"/>
      <c r="BX41" s="432"/>
      <c r="BY41" s="432"/>
      <c r="BZ41" s="432"/>
      <c r="CA41" s="432"/>
      <c r="CB41" s="432"/>
      <c r="CC41" s="432"/>
      <c r="CD41" s="432"/>
      <c r="CE41" s="432"/>
      <c r="CF41" s="432"/>
      <c r="CG41" s="432"/>
      <c r="CH41" s="432"/>
      <c r="CI41" s="432"/>
      <c r="CJ41" s="432"/>
      <c r="CK41" s="432"/>
      <c r="CL41" s="432"/>
      <c r="CM41" s="432"/>
      <c r="CN41" s="432"/>
      <c r="CO41" s="432"/>
      <c r="CP41" s="432"/>
      <c r="CQ41" s="432"/>
      <c r="CR41" s="432"/>
      <c r="CS41" s="432"/>
      <c r="CT41" s="432"/>
      <c r="CU41" s="432"/>
      <c r="CV41" s="432"/>
      <c r="CW41" s="432"/>
      <c r="CX41" s="432"/>
      <c r="CY41" s="432"/>
      <c r="CZ41" s="432"/>
      <c r="DA41" s="432"/>
      <c r="DB41" s="432"/>
      <c r="DC41" s="432"/>
      <c r="DD41" s="432"/>
      <c r="DE41" s="432"/>
      <c r="DF41" s="432"/>
      <c r="DG41" s="432"/>
      <c r="DH41" s="432"/>
      <c r="DI41" s="432"/>
      <c r="DJ41" s="432"/>
      <c r="DK41" s="432"/>
      <c r="DL41" s="432"/>
      <c r="DM41" s="432"/>
      <c r="DN41" s="432"/>
      <c r="DO41" s="432"/>
      <c r="DP41" s="432"/>
      <c r="DQ41" s="432"/>
      <c r="DR41" s="432"/>
      <c r="DS41" s="432"/>
      <c r="DT41" s="432"/>
      <c r="DU41" s="432"/>
      <c r="DV41" s="432"/>
      <c r="DW41" s="432"/>
      <c r="DX41" s="432"/>
      <c r="DY41" s="432"/>
      <c r="DZ41" s="432"/>
      <c r="EA41" s="432"/>
      <c r="EB41" s="432"/>
      <c r="EC41" s="432"/>
      <c r="ED41" s="432"/>
      <c r="EE41" s="432"/>
      <c r="EF41" s="432"/>
      <c r="EG41" s="432"/>
      <c r="EH41" s="432"/>
      <c r="EI41" s="432"/>
      <c r="EJ41" s="432"/>
      <c r="EK41" s="432"/>
      <c r="EL41" s="432"/>
      <c r="EM41" s="432"/>
      <c r="EN41" s="432"/>
      <c r="EO41" s="432"/>
      <c r="EP41" s="432"/>
      <c r="EQ41" s="432"/>
      <c r="ER41" s="432"/>
      <c r="ES41" s="432"/>
      <c r="ET41" s="432"/>
      <c r="EU41" s="432"/>
      <c r="EV41" s="432"/>
      <c r="EW41" s="432"/>
      <c r="EX41" s="432"/>
      <c r="EY41" s="432"/>
      <c r="EZ41" s="432"/>
      <c r="FA41" s="432"/>
      <c r="FB41" s="432"/>
      <c r="FC41" s="432"/>
      <c r="FD41" s="432"/>
      <c r="FE41" s="432"/>
      <c r="FF41" s="432"/>
      <c r="FG41" s="432"/>
      <c r="FH41" s="432"/>
      <c r="FI41" s="432"/>
    </row>
    <row r="42" spans="1:165" s="298" customFormat="1" hidden="1">
      <c r="A42" s="429" t="str">
        <f>Op_Costs!C34</f>
        <v>Maintenance Supplies</v>
      </c>
      <c r="B42" s="297" t="str">
        <f>IF(Deal_Overview!$V$17&gt;0,G42/Deal_Overview!$V$17,"")</f>
        <v/>
      </c>
      <c r="C42" s="430">
        <f>Op_Costs!J34</f>
        <v>0.03</v>
      </c>
      <c r="D42" s="698">
        <f>Op_Costs!D34</f>
        <v>0</v>
      </c>
      <c r="E42" s="698">
        <f>Op_Costs!E34</f>
        <v>0</v>
      </c>
      <c r="F42" s="698">
        <f>Op_Costs!F34</f>
        <v>0</v>
      </c>
      <c r="G42" s="297">
        <f>Op_Costs!G34</f>
        <v>0</v>
      </c>
      <c r="H42" s="431">
        <f t="shared" si="17"/>
        <v>0</v>
      </c>
      <c r="I42" s="431">
        <f t="shared" si="17"/>
        <v>0</v>
      </c>
      <c r="J42" s="431">
        <f t="shared" si="17"/>
        <v>0</v>
      </c>
      <c r="K42" s="431">
        <f t="shared" si="17"/>
        <v>0</v>
      </c>
      <c r="L42" s="431">
        <f t="shared" si="17"/>
        <v>0</v>
      </c>
      <c r="M42" s="431">
        <f t="shared" si="17"/>
        <v>0</v>
      </c>
      <c r="N42" s="431">
        <f t="shared" si="17"/>
        <v>0</v>
      </c>
      <c r="O42" s="431">
        <f t="shared" si="17"/>
        <v>0</v>
      </c>
      <c r="P42" s="431">
        <f t="shared" si="17"/>
        <v>0</v>
      </c>
      <c r="Q42" s="431">
        <f t="shared" si="17"/>
        <v>0</v>
      </c>
      <c r="R42" s="431">
        <f t="shared" si="17"/>
        <v>0</v>
      </c>
      <c r="S42" s="431">
        <f t="shared" si="17"/>
        <v>0</v>
      </c>
      <c r="T42" s="431">
        <f t="shared" si="17"/>
        <v>0</v>
      </c>
      <c r="U42" s="431">
        <f t="shared" si="17"/>
        <v>0</v>
      </c>
      <c r="V42" s="431">
        <f t="shared" si="17"/>
        <v>0</v>
      </c>
      <c r="W42" s="431">
        <f t="shared" si="17"/>
        <v>0</v>
      </c>
      <c r="X42" s="431">
        <f t="shared" si="17"/>
        <v>0</v>
      </c>
      <c r="Y42" s="431">
        <f t="shared" si="17"/>
        <v>0</v>
      </c>
      <c r="Z42" s="431">
        <f t="shared" si="17"/>
        <v>0</v>
      </c>
      <c r="AA42" s="431">
        <f t="shared" si="17"/>
        <v>0</v>
      </c>
      <c r="AB42" s="431">
        <f t="shared" si="17"/>
        <v>0</v>
      </c>
      <c r="AC42" s="431">
        <f t="shared" si="17"/>
        <v>0</v>
      </c>
      <c r="AD42" s="431">
        <f t="shared" si="17"/>
        <v>0</v>
      </c>
      <c r="AE42" s="431">
        <f t="shared" si="17"/>
        <v>0</v>
      </c>
      <c r="AF42" s="431">
        <f t="shared" si="17"/>
        <v>0</v>
      </c>
      <c r="AG42" s="431">
        <f t="shared" si="17"/>
        <v>0</v>
      </c>
      <c r="AH42" s="431">
        <f t="shared" si="17"/>
        <v>0</v>
      </c>
      <c r="AI42" s="431">
        <f t="shared" si="17"/>
        <v>0</v>
      </c>
      <c r="AJ42" s="431">
        <f t="shared" si="17"/>
        <v>0</v>
      </c>
      <c r="AK42" s="431">
        <f t="shared" si="17"/>
        <v>0</v>
      </c>
      <c r="AL42" s="431">
        <f t="shared" si="17"/>
        <v>0</v>
      </c>
      <c r="AM42" s="431">
        <f t="shared" si="17"/>
        <v>0</v>
      </c>
      <c r="AN42" s="431">
        <f t="shared" si="17"/>
        <v>0</v>
      </c>
      <c r="AO42" s="431">
        <f t="shared" si="17"/>
        <v>0</v>
      </c>
      <c r="AP42" s="431">
        <f t="shared" si="17"/>
        <v>0</v>
      </c>
      <c r="AQ42" s="431">
        <f t="shared" si="17"/>
        <v>0</v>
      </c>
      <c r="AR42" s="431">
        <f t="shared" si="17"/>
        <v>0</v>
      </c>
      <c r="AS42" s="431">
        <f t="shared" si="17"/>
        <v>0</v>
      </c>
      <c r="AT42" s="431">
        <f t="shared" si="17"/>
        <v>0</v>
      </c>
      <c r="AU42" s="431"/>
      <c r="AV42" s="431"/>
      <c r="AW42" s="431"/>
      <c r="AX42" s="431"/>
      <c r="AY42" s="431"/>
      <c r="AZ42" s="431"/>
      <c r="BA42" s="431"/>
      <c r="BB42" s="432"/>
      <c r="BC42" s="432"/>
      <c r="BD42" s="432"/>
      <c r="BE42" s="432"/>
      <c r="BF42" s="432"/>
      <c r="BG42" s="432"/>
      <c r="BH42" s="432"/>
      <c r="BI42" s="432"/>
      <c r="BJ42" s="432"/>
      <c r="BK42" s="432"/>
      <c r="BL42" s="432"/>
      <c r="BM42" s="432"/>
      <c r="BN42" s="432"/>
      <c r="BO42" s="432"/>
      <c r="BP42" s="432"/>
      <c r="BQ42" s="432"/>
      <c r="BR42" s="432"/>
      <c r="BS42" s="432"/>
      <c r="BT42" s="432"/>
      <c r="BU42" s="432"/>
      <c r="BV42" s="432"/>
      <c r="BW42" s="432"/>
      <c r="BX42" s="432"/>
      <c r="BY42" s="432"/>
      <c r="BZ42" s="432"/>
      <c r="CA42" s="432"/>
      <c r="CB42" s="432"/>
      <c r="CC42" s="432"/>
      <c r="CD42" s="432"/>
      <c r="CE42" s="432"/>
      <c r="CF42" s="432"/>
      <c r="CG42" s="432"/>
      <c r="CH42" s="432"/>
      <c r="CI42" s="432"/>
      <c r="CJ42" s="432"/>
      <c r="CK42" s="432"/>
      <c r="CL42" s="432"/>
      <c r="CM42" s="432"/>
      <c r="CN42" s="432"/>
      <c r="CO42" s="432"/>
      <c r="CP42" s="432"/>
      <c r="CQ42" s="432"/>
      <c r="CR42" s="432"/>
      <c r="CS42" s="432"/>
      <c r="CT42" s="432"/>
      <c r="CU42" s="432"/>
      <c r="CV42" s="432"/>
      <c r="CW42" s="432"/>
      <c r="CX42" s="432"/>
      <c r="CY42" s="432"/>
      <c r="CZ42" s="432"/>
      <c r="DA42" s="432"/>
      <c r="DB42" s="432"/>
      <c r="DC42" s="432"/>
      <c r="DD42" s="432"/>
      <c r="DE42" s="432"/>
      <c r="DF42" s="432"/>
      <c r="DG42" s="432"/>
      <c r="DH42" s="432"/>
      <c r="DI42" s="432"/>
      <c r="DJ42" s="432"/>
      <c r="DK42" s="432"/>
      <c r="DL42" s="432"/>
      <c r="DM42" s="432"/>
      <c r="DN42" s="432"/>
      <c r="DO42" s="432"/>
      <c r="DP42" s="432"/>
      <c r="DQ42" s="432"/>
      <c r="DR42" s="432"/>
      <c r="DS42" s="432"/>
      <c r="DT42" s="432"/>
      <c r="DU42" s="432"/>
      <c r="DV42" s="432"/>
      <c r="DW42" s="432"/>
      <c r="DX42" s="432"/>
      <c r="DY42" s="432"/>
      <c r="DZ42" s="432"/>
      <c r="EA42" s="432"/>
      <c r="EB42" s="432"/>
      <c r="EC42" s="432"/>
      <c r="ED42" s="432"/>
      <c r="EE42" s="432"/>
      <c r="EF42" s="432"/>
      <c r="EG42" s="432"/>
      <c r="EH42" s="432"/>
      <c r="EI42" s="432"/>
      <c r="EJ42" s="432"/>
      <c r="EK42" s="432"/>
      <c r="EL42" s="432"/>
      <c r="EM42" s="432"/>
      <c r="EN42" s="432"/>
      <c r="EO42" s="432"/>
      <c r="EP42" s="432"/>
      <c r="EQ42" s="432"/>
      <c r="ER42" s="432"/>
      <c r="ES42" s="432"/>
      <c r="ET42" s="432"/>
      <c r="EU42" s="432"/>
      <c r="EV42" s="432"/>
      <c r="EW42" s="432"/>
      <c r="EX42" s="432"/>
      <c r="EY42" s="432"/>
      <c r="EZ42" s="432"/>
      <c r="FA42" s="432"/>
      <c r="FB42" s="432"/>
      <c r="FC42" s="432"/>
      <c r="FD42" s="432"/>
      <c r="FE42" s="432"/>
      <c r="FF42" s="432"/>
      <c r="FG42" s="432"/>
      <c r="FH42" s="432"/>
      <c r="FI42" s="432"/>
    </row>
    <row r="43" spans="1:165" s="298" customFormat="1" hidden="1">
      <c r="A43" s="429" t="str">
        <f>Op_Costs!C35</f>
        <v xml:space="preserve">Elevator Contract </v>
      </c>
      <c r="B43" s="297" t="str">
        <f>IF(Deal_Overview!$V$17&gt;0,G43/Deal_Overview!$V$17,"")</f>
        <v/>
      </c>
      <c r="C43" s="430">
        <f>Op_Costs!J35</f>
        <v>0.03</v>
      </c>
      <c r="D43" s="698">
        <f>Op_Costs!D35</f>
        <v>0</v>
      </c>
      <c r="E43" s="698">
        <f>Op_Costs!E35</f>
        <v>0</v>
      </c>
      <c r="F43" s="698">
        <f>Op_Costs!F35</f>
        <v>0</v>
      </c>
      <c r="G43" s="297">
        <f>Op_Costs!G35</f>
        <v>0</v>
      </c>
      <c r="H43" s="431">
        <f t="shared" si="17"/>
        <v>0</v>
      </c>
      <c r="I43" s="431">
        <f t="shared" si="17"/>
        <v>0</v>
      </c>
      <c r="J43" s="431">
        <f t="shared" si="17"/>
        <v>0</v>
      </c>
      <c r="K43" s="431">
        <f t="shared" si="17"/>
        <v>0</v>
      </c>
      <c r="L43" s="431">
        <f t="shared" si="17"/>
        <v>0</v>
      </c>
      <c r="M43" s="431">
        <f t="shared" si="17"/>
        <v>0</v>
      </c>
      <c r="N43" s="431">
        <f t="shared" si="17"/>
        <v>0</v>
      </c>
      <c r="O43" s="431">
        <f t="shared" si="17"/>
        <v>0</v>
      </c>
      <c r="P43" s="431">
        <f t="shared" si="17"/>
        <v>0</v>
      </c>
      <c r="Q43" s="431">
        <f t="shared" si="17"/>
        <v>0</v>
      </c>
      <c r="R43" s="431">
        <f t="shared" si="17"/>
        <v>0</v>
      </c>
      <c r="S43" s="431">
        <f t="shared" si="17"/>
        <v>0</v>
      </c>
      <c r="T43" s="431">
        <f t="shared" si="17"/>
        <v>0</v>
      </c>
      <c r="U43" s="431">
        <f t="shared" si="17"/>
        <v>0</v>
      </c>
      <c r="V43" s="431">
        <f t="shared" si="17"/>
        <v>0</v>
      </c>
      <c r="W43" s="431">
        <f t="shared" si="17"/>
        <v>0</v>
      </c>
      <c r="X43" s="431">
        <f t="shared" si="17"/>
        <v>0</v>
      </c>
      <c r="Y43" s="431">
        <f t="shared" si="17"/>
        <v>0</v>
      </c>
      <c r="Z43" s="431">
        <f t="shared" si="17"/>
        <v>0</v>
      </c>
      <c r="AA43" s="431">
        <f t="shared" si="17"/>
        <v>0</v>
      </c>
      <c r="AB43" s="431">
        <f t="shared" si="17"/>
        <v>0</v>
      </c>
      <c r="AC43" s="431">
        <f t="shared" si="17"/>
        <v>0</v>
      </c>
      <c r="AD43" s="431">
        <f t="shared" si="17"/>
        <v>0</v>
      </c>
      <c r="AE43" s="431">
        <f t="shared" si="17"/>
        <v>0</v>
      </c>
      <c r="AF43" s="431">
        <f t="shared" si="17"/>
        <v>0</v>
      </c>
      <c r="AG43" s="431">
        <f t="shared" si="17"/>
        <v>0</v>
      </c>
      <c r="AH43" s="431">
        <f t="shared" si="17"/>
        <v>0</v>
      </c>
      <c r="AI43" s="431">
        <f t="shared" si="17"/>
        <v>0</v>
      </c>
      <c r="AJ43" s="431">
        <f t="shared" si="17"/>
        <v>0</v>
      </c>
      <c r="AK43" s="431">
        <f t="shared" si="17"/>
        <v>0</v>
      </c>
      <c r="AL43" s="431">
        <f t="shared" si="17"/>
        <v>0</v>
      </c>
      <c r="AM43" s="431">
        <f t="shared" si="17"/>
        <v>0</v>
      </c>
      <c r="AN43" s="431">
        <f t="shared" si="17"/>
        <v>0</v>
      </c>
      <c r="AO43" s="431">
        <f t="shared" si="17"/>
        <v>0</v>
      </c>
      <c r="AP43" s="431">
        <f t="shared" si="17"/>
        <v>0</v>
      </c>
      <c r="AQ43" s="431">
        <f t="shared" si="17"/>
        <v>0</v>
      </c>
      <c r="AR43" s="431">
        <f t="shared" si="17"/>
        <v>0</v>
      </c>
      <c r="AS43" s="431">
        <f t="shared" si="17"/>
        <v>0</v>
      </c>
      <c r="AT43" s="431">
        <f t="shared" si="17"/>
        <v>0</v>
      </c>
      <c r="AU43" s="431"/>
      <c r="AV43" s="431"/>
      <c r="AW43" s="431"/>
      <c r="AX43" s="431"/>
      <c r="AY43" s="431"/>
      <c r="AZ43" s="431"/>
      <c r="BA43" s="431"/>
      <c r="BB43" s="432"/>
      <c r="BC43" s="432"/>
      <c r="BD43" s="432"/>
      <c r="BE43" s="432"/>
      <c r="BF43" s="432"/>
      <c r="BG43" s="432"/>
      <c r="BH43" s="432"/>
      <c r="BI43" s="432"/>
      <c r="BJ43" s="432"/>
      <c r="BK43" s="432"/>
      <c r="BL43" s="432"/>
      <c r="BM43" s="432"/>
      <c r="BN43" s="432"/>
      <c r="BO43" s="432"/>
      <c r="BP43" s="432"/>
      <c r="BQ43" s="432"/>
      <c r="BR43" s="432"/>
      <c r="BS43" s="432"/>
      <c r="BT43" s="432"/>
      <c r="BU43" s="432"/>
      <c r="BV43" s="432"/>
      <c r="BW43" s="432"/>
      <c r="BX43" s="432"/>
      <c r="BY43" s="432"/>
      <c r="BZ43" s="432"/>
      <c r="CA43" s="432"/>
      <c r="CB43" s="432"/>
      <c r="CC43" s="432"/>
      <c r="CD43" s="432"/>
      <c r="CE43" s="432"/>
      <c r="CF43" s="432"/>
      <c r="CG43" s="432"/>
      <c r="CH43" s="432"/>
      <c r="CI43" s="432"/>
      <c r="CJ43" s="432"/>
      <c r="CK43" s="432"/>
      <c r="CL43" s="432"/>
      <c r="CM43" s="432"/>
      <c r="CN43" s="432"/>
      <c r="CO43" s="432"/>
      <c r="CP43" s="432"/>
      <c r="CQ43" s="432"/>
      <c r="CR43" s="432"/>
      <c r="CS43" s="432"/>
      <c r="CT43" s="432"/>
      <c r="CU43" s="432"/>
      <c r="CV43" s="432"/>
      <c r="CW43" s="432"/>
      <c r="CX43" s="432"/>
      <c r="CY43" s="432"/>
      <c r="CZ43" s="432"/>
      <c r="DA43" s="432"/>
      <c r="DB43" s="432"/>
      <c r="DC43" s="432"/>
      <c r="DD43" s="432"/>
      <c r="DE43" s="432"/>
      <c r="DF43" s="432"/>
      <c r="DG43" s="432"/>
      <c r="DH43" s="432"/>
      <c r="DI43" s="432"/>
      <c r="DJ43" s="432"/>
      <c r="DK43" s="432"/>
      <c r="DL43" s="432"/>
      <c r="DM43" s="432"/>
      <c r="DN43" s="432"/>
      <c r="DO43" s="432"/>
      <c r="DP43" s="432"/>
      <c r="DQ43" s="432"/>
      <c r="DR43" s="432"/>
      <c r="DS43" s="432"/>
      <c r="DT43" s="432"/>
      <c r="DU43" s="432"/>
      <c r="DV43" s="432"/>
      <c r="DW43" s="432"/>
      <c r="DX43" s="432"/>
      <c r="DY43" s="432"/>
      <c r="DZ43" s="432"/>
      <c r="EA43" s="432"/>
      <c r="EB43" s="432"/>
      <c r="EC43" s="432"/>
      <c r="ED43" s="432"/>
      <c r="EE43" s="432"/>
      <c r="EF43" s="432"/>
      <c r="EG43" s="432"/>
      <c r="EH43" s="432"/>
      <c r="EI43" s="432"/>
      <c r="EJ43" s="432"/>
      <c r="EK43" s="432"/>
      <c r="EL43" s="432"/>
      <c r="EM43" s="432"/>
      <c r="EN43" s="432"/>
      <c r="EO43" s="432"/>
      <c r="EP43" s="432"/>
      <c r="EQ43" s="432"/>
      <c r="ER43" s="432"/>
      <c r="ES43" s="432"/>
      <c r="ET43" s="432"/>
      <c r="EU43" s="432"/>
      <c r="EV43" s="432"/>
      <c r="EW43" s="432"/>
      <c r="EX43" s="432"/>
      <c r="EY43" s="432"/>
      <c r="EZ43" s="432"/>
      <c r="FA43" s="432"/>
      <c r="FB43" s="432"/>
      <c r="FC43" s="432"/>
      <c r="FD43" s="432"/>
      <c r="FE43" s="432"/>
      <c r="FF43" s="432"/>
      <c r="FG43" s="432"/>
      <c r="FH43" s="432"/>
      <c r="FI43" s="432"/>
    </row>
    <row r="44" spans="1:165" s="298" customFormat="1" hidden="1">
      <c r="A44" s="429" t="str">
        <f>Op_Costs!C36</f>
        <v>Landscaping</v>
      </c>
      <c r="B44" s="297" t="str">
        <f>IF(Deal_Overview!$V$17&gt;0,G44/Deal_Overview!$V$17,"")</f>
        <v/>
      </c>
      <c r="C44" s="430">
        <f>Op_Costs!J36</f>
        <v>0.03</v>
      </c>
      <c r="D44" s="698">
        <f>Op_Costs!D36</f>
        <v>0</v>
      </c>
      <c r="E44" s="698">
        <f>Op_Costs!E36</f>
        <v>0</v>
      </c>
      <c r="F44" s="698">
        <f>Op_Costs!F36</f>
        <v>0</v>
      </c>
      <c r="G44" s="297">
        <f>Op_Costs!G36</f>
        <v>0</v>
      </c>
      <c r="H44" s="431">
        <f t="shared" si="17"/>
        <v>0</v>
      </c>
      <c r="I44" s="431">
        <f t="shared" si="17"/>
        <v>0</v>
      </c>
      <c r="J44" s="431">
        <f t="shared" si="17"/>
        <v>0</v>
      </c>
      <c r="K44" s="431">
        <f t="shared" si="17"/>
        <v>0</v>
      </c>
      <c r="L44" s="431">
        <f t="shared" si="17"/>
        <v>0</v>
      </c>
      <c r="M44" s="431">
        <f t="shared" si="17"/>
        <v>0</v>
      </c>
      <c r="N44" s="431">
        <f t="shared" si="17"/>
        <v>0</v>
      </c>
      <c r="O44" s="431">
        <f t="shared" si="17"/>
        <v>0</v>
      </c>
      <c r="P44" s="431">
        <f t="shared" si="17"/>
        <v>0</v>
      </c>
      <c r="Q44" s="431">
        <f t="shared" si="17"/>
        <v>0</v>
      </c>
      <c r="R44" s="431">
        <f t="shared" si="17"/>
        <v>0</v>
      </c>
      <c r="S44" s="431">
        <f t="shared" si="17"/>
        <v>0</v>
      </c>
      <c r="T44" s="431">
        <f t="shared" si="17"/>
        <v>0</v>
      </c>
      <c r="U44" s="431">
        <f t="shared" si="17"/>
        <v>0</v>
      </c>
      <c r="V44" s="431">
        <f t="shared" si="17"/>
        <v>0</v>
      </c>
      <c r="W44" s="431">
        <f t="shared" si="17"/>
        <v>0</v>
      </c>
      <c r="X44" s="431">
        <f t="shared" si="17"/>
        <v>0</v>
      </c>
      <c r="Y44" s="431">
        <f t="shared" si="17"/>
        <v>0</v>
      </c>
      <c r="Z44" s="431">
        <f t="shared" si="17"/>
        <v>0</v>
      </c>
      <c r="AA44" s="431">
        <f t="shared" si="17"/>
        <v>0</v>
      </c>
      <c r="AB44" s="431">
        <f t="shared" si="17"/>
        <v>0</v>
      </c>
      <c r="AC44" s="431">
        <f t="shared" ref="AC44:AT44" si="18">AB44*(1+$C44)</f>
        <v>0</v>
      </c>
      <c r="AD44" s="431">
        <f t="shared" si="18"/>
        <v>0</v>
      </c>
      <c r="AE44" s="431">
        <f t="shared" si="18"/>
        <v>0</v>
      </c>
      <c r="AF44" s="431">
        <f t="shared" si="18"/>
        <v>0</v>
      </c>
      <c r="AG44" s="431">
        <f t="shared" si="18"/>
        <v>0</v>
      </c>
      <c r="AH44" s="431">
        <f t="shared" si="18"/>
        <v>0</v>
      </c>
      <c r="AI44" s="431">
        <f t="shared" si="18"/>
        <v>0</v>
      </c>
      <c r="AJ44" s="431">
        <f t="shared" si="18"/>
        <v>0</v>
      </c>
      <c r="AK44" s="431">
        <f t="shared" si="18"/>
        <v>0</v>
      </c>
      <c r="AL44" s="431">
        <f t="shared" si="18"/>
        <v>0</v>
      </c>
      <c r="AM44" s="431">
        <f t="shared" si="18"/>
        <v>0</v>
      </c>
      <c r="AN44" s="431">
        <f t="shared" si="18"/>
        <v>0</v>
      </c>
      <c r="AO44" s="431">
        <f t="shared" si="18"/>
        <v>0</v>
      </c>
      <c r="AP44" s="431">
        <f t="shared" si="18"/>
        <v>0</v>
      </c>
      <c r="AQ44" s="431">
        <f t="shared" si="18"/>
        <v>0</v>
      </c>
      <c r="AR44" s="431">
        <f t="shared" si="18"/>
        <v>0</v>
      </c>
      <c r="AS44" s="431">
        <f t="shared" si="18"/>
        <v>0</v>
      </c>
      <c r="AT44" s="431">
        <f t="shared" si="18"/>
        <v>0</v>
      </c>
      <c r="AU44" s="431"/>
      <c r="AV44" s="431"/>
      <c r="AW44" s="431"/>
      <c r="AX44" s="431"/>
      <c r="AY44" s="431"/>
      <c r="AZ44" s="431"/>
      <c r="BA44" s="431"/>
      <c r="BB44" s="432"/>
      <c r="BC44" s="432"/>
      <c r="BD44" s="432"/>
      <c r="BE44" s="432"/>
      <c r="BF44" s="432"/>
      <c r="BG44" s="432"/>
      <c r="BH44" s="432"/>
      <c r="BI44" s="432"/>
      <c r="BJ44" s="432"/>
      <c r="BK44" s="432"/>
      <c r="BL44" s="432"/>
      <c r="BM44" s="432"/>
      <c r="BN44" s="432"/>
      <c r="BO44" s="432"/>
      <c r="BP44" s="432"/>
      <c r="BQ44" s="432"/>
      <c r="BR44" s="432"/>
      <c r="BS44" s="432"/>
      <c r="BT44" s="432"/>
      <c r="BU44" s="432"/>
      <c r="BV44" s="432"/>
      <c r="BW44" s="432"/>
      <c r="BX44" s="432"/>
      <c r="BY44" s="432"/>
      <c r="BZ44" s="432"/>
      <c r="CA44" s="432"/>
      <c r="CB44" s="432"/>
      <c r="CC44" s="432"/>
      <c r="CD44" s="432"/>
      <c r="CE44" s="432"/>
      <c r="CF44" s="432"/>
      <c r="CG44" s="432"/>
      <c r="CH44" s="432"/>
      <c r="CI44" s="432"/>
      <c r="CJ44" s="432"/>
      <c r="CK44" s="432"/>
      <c r="CL44" s="432"/>
      <c r="CM44" s="432"/>
      <c r="CN44" s="432"/>
      <c r="CO44" s="432"/>
      <c r="CP44" s="432"/>
      <c r="CQ44" s="432"/>
      <c r="CR44" s="432"/>
      <c r="CS44" s="432"/>
      <c r="CT44" s="432"/>
      <c r="CU44" s="432"/>
      <c r="CV44" s="432"/>
      <c r="CW44" s="432"/>
      <c r="CX44" s="432"/>
      <c r="CY44" s="432"/>
      <c r="CZ44" s="432"/>
      <c r="DA44" s="432"/>
      <c r="DB44" s="432"/>
      <c r="DC44" s="432"/>
      <c r="DD44" s="432"/>
      <c r="DE44" s="432"/>
      <c r="DF44" s="432"/>
      <c r="DG44" s="432"/>
      <c r="DH44" s="432"/>
      <c r="DI44" s="432"/>
      <c r="DJ44" s="432"/>
      <c r="DK44" s="432"/>
      <c r="DL44" s="432"/>
      <c r="DM44" s="432"/>
      <c r="DN44" s="432"/>
      <c r="DO44" s="432"/>
      <c r="DP44" s="432"/>
      <c r="DQ44" s="432"/>
      <c r="DR44" s="432"/>
      <c r="DS44" s="432"/>
      <c r="DT44" s="432"/>
      <c r="DU44" s="432"/>
      <c r="DV44" s="432"/>
      <c r="DW44" s="432"/>
      <c r="DX44" s="432"/>
      <c r="DY44" s="432"/>
      <c r="DZ44" s="432"/>
      <c r="EA44" s="432"/>
      <c r="EB44" s="432"/>
      <c r="EC44" s="432"/>
      <c r="ED44" s="432"/>
      <c r="EE44" s="432"/>
      <c r="EF44" s="432"/>
      <c r="EG44" s="432"/>
      <c r="EH44" s="432"/>
      <c r="EI44" s="432"/>
      <c r="EJ44" s="432"/>
      <c r="EK44" s="432"/>
      <c r="EL44" s="432"/>
      <c r="EM44" s="432"/>
      <c r="EN44" s="432"/>
      <c r="EO44" s="432"/>
      <c r="EP44" s="432"/>
      <c r="EQ44" s="432"/>
      <c r="ER44" s="432"/>
      <c r="ES44" s="432"/>
      <c r="ET44" s="432"/>
      <c r="EU44" s="432"/>
      <c r="EV44" s="432"/>
      <c r="EW44" s="432"/>
      <c r="EX44" s="432"/>
      <c r="EY44" s="432"/>
      <c r="EZ44" s="432"/>
      <c r="FA44" s="432"/>
      <c r="FB44" s="432"/>
      <c r="FC44" s="432"/>
      <c r="FD44" s="432"/>
      <c r="FE44" s="432"/>
      <c r="FF44" s="432"/>
      <c r="FG44" s="432"/>
      <c r="FH44" s="432"/>
      <c r="FI44" s="432"/>
    </row>
    <row r="45" spans="1:165" s="298" customFormat="1" hidden="1">
      <c r="A45" s="429" t="str">
        <f>Op_Costs!C37</f>
        <v>Security</v>
      </c>
      <c r="B45" s="297" t="str">
        <f>IF(Deal_Overview!$V$17&gt;0,G45/Deal_Overview!$V$17,"")</f>
        <v/>
      </c>
      <c r="C45" s="430">
        <f>Op_Costs!J37</f>
        <v>0.03</v>
      </c>
      <c r="D45" s="698">
        <f>Op_Costs!D37</f>
        <v>0</v>
      </c>
      <c r="E45" s="698">
        <f>Op_Costs!E37</f>
        <v>0</v>
      </c>
      <c r="F45" s="698">
        <f>Op_Costs!F37</f>
        <v>0</v>
      </c>
      <c r="G45" s="297">
        <f>Op_Costs!G37</f>
        <v>0</v>
      </c>
      <c r="H45" s="431">
        <f t="shared" ref="H45:AT48" si="19">G45*(1+$C45)</f>
        <v>0</v>
      </c>
      <c r="I45" s="431">
        <f t="shared" si="19"/>
        <v>0</v>
      </c>
      <c r="J45" s="431">
        <f t="shared" si="19"/>
        <v>0</v>
      </c>
      <c r="K45" s="431">
        <f t="shared" si="19"/>
        <v>0</v>
      </c>
      <c r="L45" s="431">
        <f t="shared" si="19"/>
        <v>0</v>
      </c>
      <c r="M45" s="431">
        <f t="shared" si="19"/>
        <v>0</v>
      </c>
      <c r="N45" s="431">
        <f t="shared" si="19"/>
        <v>0</v>
      </c>
      <c r="O45" s="431">
        <f t="shared" si="19"/>
        <v>0</v>
      </c>
      <c r="P45" s="431">
        <f t="shared" si="19"/>
        <v>0</v>
      </c>
      <c r="Q45" s="431">
        <f t="shared" si="19"/>
        <v>0</v>
      </c>
      <c r="R45" s="431">
        <f t="shared" si="19"/>
        <v>0</v>
      </c>
      <c r="S45" s="431">
        <f t="shared" si="19"/>
        <v>0</v>
      </c>
      <c r="T45" s="431">
        <f t="shared" si="19"/>
        <v>0</v>
      </c>
      <c r="U45" s="431">
        <f t="shared" si="19"/>
        <v>0</v>
      </c>
      <c r="V45" s="431">
        <f t="shared" si="19"/>
        <v>0</v>
      </c>
      <c r="W45" s="431">
        <f t="shared" si="19"/>
        <v>0</v>
      </c>
      <c r="X45" s="431">
        <f t="shared" si="19"/>
        <v>0</v>
      </c>
      <c r="Y45" s="431">
        <f t="shared" si="19"/>
        <v>0</v>
      </c>
      <c r="Z45" s="431">
        <f t="shared" si="19"/>
        <v>0</v>
      </c>
      <c r="AA45" s="431">
        <f t="shared" si="19"/>
        <v>0</v>
      </c>
      <c r="AB45" s="431">
        <f t="shared" si="19"/>
        <v>0</v>
      </c>
      <c r="AC45" s="431">
        <f t="shared" si="19"/>
        <v>0</v>
      </c>
      <c r="AD45" s="431">
        <f t="shared" si="19"/>
        <v>0</v>
      </c>
      <c r="AE45" s="431">
        <f t="shared" si="19"/>
        <v>0</v>
      </c>
      <c r="AF45" s="431">
        <f t="shared" si="19"/>
        <v>0</v>
      </c>
      <c r="AG45" s="431">
        <f t="shared" si="19"/>
        <v>0</v>
      </c>
      <c r="AH45" s="431">
        <f t="shared" si="19"/>
        <v>0</v>
      </c>
      <c r="AI45" s="431">
        <f t="shared" si="19"/>
        <v>0</v>
      </c>
      <c r="AJ45" s="431">
        <f t="shared" si="19"/>
        <v>0</v>
      </c>
      <c r="AK45" s="431">
        <f t="shared" si="19"/>
        <v>0</v>
      </c>
      <c r="AL45" s="431">
        <f t="shared" si="19"/>
        <v>0</v>
      </c>
      <c r="AM45" s="431">
        <f t="shared" si="19"/>
        <v>0</v>
      </c>
      <c r="AN45" s="431">
        <f t="shared" si="19"/>
        <v>0</v>
      </c>
      <c r="AO45" s="431">
        <f t="shared" si="19"/>
        <v>0</v>
      </c>
      <c r="AP45" s="431">
        <f t="shared" si="19"/>
        <v>0</v>
      </c>
      <c r="AQ45" s="431">
        <f t="shared" si="19"/>
        <v>0</v>
      </c>
      <c r="AR45" s="431">
        <f t="shared" si="19"/>
        <v>0</v>
      </c>
      <c r="AS45" s="431">
        <f t="shared" si="19"/>
        <v>0</v>
      </c>
      <c r="AT45" s="431">
        <f t="shared" si="19"/>
        <v>0</v>
      </c>
      <c r="AU45" s="431"/>
      <c r="AV45" s="431"/>
      <c r="AW45" s="431"/>
      <c r="AX45" s="431"/>
      <c r="AY45" s="431"/>
      <c r="AZ45" s="431"/>
      <c r="BA45" s="431"/>
      <c r="BB45" s="432"/>
      <c r="BC45" s="432"/>
      <c r="BD45" s="432"/>
      <c r="BE45" s="432"/>
      <c r="BF45" s="432"/>
      <c r="BG45" s="432"/>
      <c r="BH45" s="432"/>
      <c r="BI45" s="432"/>
      <c r="BJ45" s="432"/>
      <c r="BK45" s="432"/>
      <c r="BL45" s="432"/>
      <c r="BM45" s="432"/>
      <c r="BN45" s="432"/>
      <c r="BO45" s="432"/>
      <c r="BP45" s="432"/>
      <c r="BQ45" s="432"/>
      <c r="BR45" s="432"/>
      <c r="BS45" s="432"/>
      <c r="BT45" s="432"/>
      <c r="BU45" s="432"/>
      <c r="BV45" s="432"/>
      <c r="BW45" s="432"/>
      <c r="BX45" s="432"/>
      <c r="BY45" s="432"/>
      <c r="BZ45" s="432"/>
      <c r="CA45" s="432"/>
      <c r="CB45" s="432"/>
      <c r="CC45" s="432"/>
      <c r="CD45" s="432"/>
      <c r="CE45" s="432"/>
      <c r="CF45" s="432"/>
      <c r="CG45" s="432"/>
      <c r="CH45" s="432"/>
      <c r="CI45" s="432"/>
      <c r="CJ45" s="432"/>
      <c r="CK45" s="432"/>
      <c r="CL45" s="432"/>
      <c r="CM45" s="432"/>
      <c r="CN45" s="432"/>
      <c r="CO45" s="432"/>
      <c r="CP45" s="432"/>
      <c r="CQ45" s="432"/>
      <c r="CR45" s="432"/>
      <c r="CS45" s="432"/>
      <c r="CT45" s="432"/>
      <c r="CU45" s="432"/>
      <c r="CV45" s="432"/>
      <c r="CW45" s="432"/>
      <c r="CX45" s="432"/>
      <c r="CY45" s="432"/>
      <c r="CZ45" s="432"/>
      <c r="DA45" s="432"/>
      <c r="DB45" s="432"/>
      <c r="DC45" s="432"/>
      <c r="DD45" s="432"/>
      <c r="DE45" s="432"/>
      <c r="DF45" s="432"/>
      <c r="DG45" s="432"/>
      <c r="DH45" s="432"/>
      <c r="DI45" s="432"/>
      <c r="DJ45" s="432"/>
      <c r="DK45" s="432"/>
      <c r="DL45" s="432"/>
      <c r="DM45" s="432"/>
      <c r="DN45" s="432"/>
      <c r="DO45" s="432"/>
      <c r="DP45" s="432"/>
      <c r="DQ45" s="432"/>
      <c r="DR45" s="432"/>
      <c r="DS45" s="432"/>
      <c r="DT45" s="432"/>
      <c r="DU45" s="432"/>
      <c r="DV45" s="432"/>
      <c r="DW45" s="432"/>
      <c r="DX45" s="432"/>
      <c r="DY45" s="432"/>
      <c r="DZ45" s="432"/>
      <c r="EA45" s="432"/>
      <c r="EB45" s="432"/>
      <c r="EC45" s="432"/>
      <c r="ED45" s="432"/>
      <c r="EE45" s="432"/>
      <c r="EF45" s="432"/>
      <c r="EG45" s="432"/>
      <c r="EH45" s="432"/>
      <c r="EI45" s="432"/>
      <c r="EJ45" s="432"/>
      <c r="EK45" s="432"/>
      <c r="EL45" s="432"/>
      <c r="EM45" s="432"/>
      <c r="EN45" s="432"/>
      <c r="EO45" s="432"/>
      <c r="EP45" s="432"/>
      <c r="EQ45" s="432"/>
      <c r="ER45" s="432"/>
      <c r="ES45" s="432"/>
      <c r="ET45" s="432"/>
      <c r="EU45" s="432"/>
      <c r="EV45" s="432"/>
      <c r="EW45" s="432"/>
      <c r="EX45" s="432"/>
      <c r="EY45" s="432"/>
      <c r="EZ45" s="432"/>
      <c r="FA45" s="432"/>
      <c r="FB45" s="432"/>
      <c r="FC45" s="432"/>
      <c r="FD45" s="432"/>
      <c r="FE45" s="432"/>
      <c r="FF45" s="432"/>
      <c r="FG45" s="432"/>
      <c r="FH45" s="432"/>
      <c r="FI45" s="432"/>
    </row>
    <row r="46" spans="1:165" s="298" customFormat="1" hidden="1">
      <c r="A46" s="429" t="str">
        <f>Op_Costs!C38</f>
        <v>HVAC</v>
      </c>
      <c r="B46" s="297" t="str">
        <f>IF(Deal_Overview!$V$17&gt;0,G46/Deal_Overview!$V$17,"")</f>
        <v/>
      </c>
      <c r="C46" s="430">
        <f>Op_Costs!J38</f>
        <v>0.03</v>
      </c>
      <c r="D46" s="698">
        <f>Op_Costs!D38</f>
        <v>0</v>
      </c>
      <c r="E46" s="698">
        <f>Op_Costs!E38</f>
        <v>0</v>
      </c>
      <c r="F46" s="698">
        <f>Op_Costs!F38</f>
        <v>0</v>
      </c>
      <c r="G46" s="297">
        <f>Op_Costs!G38</f>
        <v>0</v>
      </c>
      <c r="H46" s="431">
        <f t="shared" si="19"/>
        <v>0</v>
      </c>
      <c r="I46" s="431">
        <f t="shared" si="19"/>
        <v>0</v>
      </c>
      <c r="J46" s="431">
        <f t="shared" si="19"/>
        <v>0</v>
      </c>
      <c r="K46" s="431">
        <f t="shared" si="19"/>
        <v>0</v>
      </c>
      <c r="L46" s="431">
        <f t="shared" si="19"/>
        <v>0</v>
      </c>
      <c r="M46" s="431">
        <f t="shared" si="19"/>
        <v>0</v>
      </c>
      <c r="N46" s="431">
        <f t="shared" si="19"/>
        <v>0</v>
      </c>
      <c r="O46" s="431">
        <f t="shared" si="19"/>
        <v>0</v>
      </c>
      <c r="P46" s="431">
        <f t="shared" si="19"/>
        <v>0</v>
      </c>
      <c r="Q46" s="431">
        <f t="shared" si="19"/>
        <v>0</v>
      </c>
      <c r="R46" s="431">
        <f t="shared" si="19"/>
        <v>0</v>
      </c>
      <c r="S46" s="431">
        <f t="shared" si="19"/>
        <v>0</v>
      </c>
      <c r="T46" s="431">
        <f t="shared" si="19"/>
        <v>0</v>
      </c>
      <c r="U46" s="431">
        <f t="shared" si="19"/>
        <v>0</v>
      </c>
      <c r="V46" s="431">
        <f t="shared" si="19"/>
        <v>0</v>
      </c>
      <c r="W46" s="431">
        <f t="shared" si="19"/>
        <v>0</v>
      </c>
      <c r="X46" s="431">
        <f t="shared" si="19"/>
        <v>0</v>
      </c>
      <c r="Y46" s="431">
        <f t="shared" si="19"/>
        <v>0</v>
      </c>
      <c r="Z46" s="431">
        <f t="shared" si="19"/>
        <v>0</v>
      </c>
      <c r="AA46" s="431">
        <f t="shared" si="19"/>
        <v>0</v>
      </c>
      <c r="AB46" s="431">
        <f t="shared" si="19"/>
        <v>0</v>
      </c>
      <c r="AC46" s="431">
        <f t="shared" si="19"/>
        <v>0</v>
      </c>
      <c r="AD46" s="431">
        <f t="shared" si="19"/>
        <v>0</v>
      </c>
      <c r="AE46" s="431">
        <f t="shared" si="19"/>
        <v>0</v>
      </c>
      <c r="AF46" s="431">
        <f t="shared" si="19"/>
        <v>0</v>
      </c>
      <c r="AG46" s="431">
        <f t="shared" si="19"/>
        <v>0</v>
      </c>
      <c r="AH46" s="431">
        <f t="shared" si="19"/>
        <v>0</v>
      </c>
      <c r="AI46" s="431">
        <f t="shared" si="19"/>
        <v>0</v>
      </c>
      <c r="AJ46" s="431">
        <f t="shared" si="19"/>
        <v>0</v>
      </c>
      <c r="AK46" s="431">
        <f t="shared" si="19"/>
        <v>0</v>
      </c>
      <c r="AL46" s="431">
        <f t="shared" si="19"/>
        <v>0</v>
      </c>
      <c r="AM46" s="431">
        <f t="shared" si="19"/>
        <v>0</v>
      </c>
      <c r="AN46" s="431">
        <f t="shared" si="19"/>
        <v>0</v>
      </c>
      <c r="AO46" s="431">
        <f t="shared" si="19"/>
        <v>0</v>
      </c>
      <c r="AP46" s="431">
        <f t="shared" si="19"/>
        <v>0</v>
      </c>
      <c r="AQ46" s="431">
        <f t="shared" si="19"/>
        <v>0</v>
      </c>
      <c r="AR46" s="431">
        <f t="shared" si="19"/>
        <v>0</v>
      </c>
      <c r="AS46" s="431">
        <f t="shared" si="19"/>
        <v>0</v>
      </c>
      <c r="AT46" s="431">
        <f t="shared" si="19"/>
        <v>0</v>
      </c>
      <c r="AU46" s="431"/>
      <c r="AV46" s="431"/>
      <c r="AW46" s="431"/>
      <c r="AX46" s="431"/>
      <c r="AY46" s="431"/>
      <c r="AZ46" s="431"/>
      <c r="BA46" s="431"/>
      <c r="BB46" s="432"/>
      <c r="BC46" s="432"/>
      <c r="BD46" s="432"/>
      <c r="BE46" s="432"/>
      <c r="BF46" s="432"/>
      <c r="BG46" s="432"/>
      <c r="BH46" s="432"/>
      <c r="BI46" s="432"/>
      <c r="BJ46" s="432"/>
      <c r="BK46" s="432"/>
      <c r="BL46" s="432"/>
      <c r="BM46" s="432"/>
      <c r="BN46" s="432"/>
      <c r="BO46" s="432"/>
      <c r="BP46" s="432"/>
      <c r="BQ46" s="432"/>
      <c r="BR46" s="432"/>
      <c r="BS46" s="432"/>
      <c r="BT46" s="432"/>
      <c r="BU46" s="432"/>
      <c r="BV46" s="432"/>
      <c r="BW46" s="432"/>
      <c r="BX46" s="432"/>
      <c r="BY46" s="432"/>
      <c r="BZ46" s="432"/>
      <c r="CA46" s="432"/>
      <c r="CB46" s="432"/>
      <c r="CC46" s="432"/>
      <c r="CD46" s="432"/>
      <c r="CE46" s="432"/>
      <c r="CF46" s="432"/>
      <c r="CG46" s="432"/>
      <c r="CH46" s="432"/>
      <c r="CI46" s="432"/>
      <c r="CJ46" s="432"/>
      <c r="CK46" s="432"/>
      <c r="CL46" s="432"/>
      <c r="CM46" s="432"/>
      <c r="CN46" s="432"/>
      <c r="CO46" s="432"/>
      <c r="CP46" s="432"/>
      <c r="CQ46" s="432"/>
      <c r="CR46" s="432"/>
      <c r="CS46" s="432"/>
      <c r="CT46" s="432"/>
      <c r="CU46" s="432"/>
      <c r="CV46" s="432"/>
      <c r="CW46" s="432"/>
      <c r="CX46" s="432"/>
      <c r="CY46" s="432"/>
      <c r="CZ46" s="432"/>
      <c r="DA46" s="432"/>
      <c r="DB46" s="432"/>
      <c r="DC46" s="432"/>
      <c r="DD46" s="432"/>
      <c r="DE46" s="432"/>
      <c r="DF46" s="432"/>
      <c r="DG46" s="432"/>
      <c r="DH46" s="432"/>
      <c r="DI46" s="432"/>
      <c r="DJ46" s="432"/>
      <c r="DK46" s="432"/>
      <c r="DL46" s="432"/>
      <c r="DM46" s="432"/>
      <c r="DN46" s="432"/>
      <c r="DO46" s="432"/>
      <c r="DP46" s="432"/>
      <c r="DQ46" s="432"/>
      <c r="DR46" s="432"/>
      <c r="DS46" s="432"/>
      <c r="DT46" s="432"/>
      <c r="DU46" s="432"/>
      <c r="DV46" s="432"/>
      <c r="DW46" s="432"/>
      <c r="DX46" s="432"/>
      <c r="DY46" s="432"/>
      <c r="DZ46" s="432"/>
      <c r="EA46" s="432"/>
      <c r="EB46" s="432"/>
      <c r="EC46" s="432"/>
      <c r="ED46" s="432"/>
      <c r="EE46" s="432"/>
      <c r="EF46" s="432"/>
      <c r="EG46" s="432"/>
      <c r="EH46" s="432"/>
      <c r="EI46" s="432"/>
      <c r="EJ46" s="432"/>
      <c r="EK46" s="432"/>
      <c r="EL46" s="432"/>
      <c r="EM46" s="432"/>
      <c r="EN46" s="432"/>
      <c r="EO46" s="432"/>
      <c r="EP46" s="432"/>
      <c r="EQ46" s="432"/>
      <c r="ER46" s="432"/>
      <c r="ES46" s="432"/>
      <c r="ET46" s="432"/>
      <c r="EU46" s="432"/>
      <c r="EV46" s="432"/>
      <c r="EW46" s="432"/>
      <c r="EX46" s="432"/>
      <c r="EY46" s="432"/>
      <c r="EZ46" s="432"/>
      <c r="FA46" s="432"/>
      <c r="FB46" s="432"/>
      <c r="FC46" s="432"/>
      <c r="FD46" s="432"/>
      <c r="FE46" s="432"/>
      <c r="FF46" s="432"/>
      <c r="FG46" s="432"/>
      <c r="FH46" s="432"/>
      <c r="FI46" s="432"/>
    </row>
    <row r="47" spans="1:165" s="298" customFormat="1" hidden="1">
      <c r="A47" s="429" t="str">
        <f>Op_Costs!C39</f>
        <v>Snow Removal</v>
      </c>
      <c r="B47" s="297" t="str">
        <f>IF(Deal_Overview!$V$17&gt;0,G47/Deal_Overview!$V$17,"")</f>
        <v/>
      </c>
      <c r="C47" s="430">
        <f>Op_Costs!J39</f>
        <v>0.03</v>
      </c>
      <c r="D47" s="698">
        <f>Op_Costs!D39</f>
        <v>0</v>
      </c>
      <c r="E47" s="698">
        <f>Op_Costs!E39</f>
        <v>0</v>
      </c>
      <c r="F47" s="698">
        <f>Op_Costs!F39</f>
        <v>0</v>
      </c>
      <c r="G47" s="297">
        <f>Op_Costs!G39</f>
        <v>0</v>
      </c>
      <c r="H47" s="431">
        <f t="shared" si="19"/>
        <v>0</v>
      </c>
      <c r="I47" s="431">
        <f t="shared" si="19"/>
        <v>0</v>
      </c>
      <c r="J47" s="431">
        <f t="shared" si="19"/>
        <v>0</v>
      </c>
      <c r="K47" s="431">
        <f t="shared" si="19"/>
        <v>0</v>
      </c>
      <c r="L47" s="431">
        <f t="shared" si="19"/>
        <v>0</v>
      </c>
      <c r="M47" s="431">
        <f t="shared" si="19"/>
        <v>0</v>
      </c>
      <c r="N47" s="431">
        <f t="shared" si="19"/>
        <v>0</v>
      </c>
      <c r="O47" s="431">
        <f t="shared" si="19"/>
        <v>0</v>
      </c>
      <c r="P47" s="431">
        <f t="shared" si="19"/>
        <v>0</v>
      </c>
      <c r="Q47" s="431">
        <f t="shared" si="19"/>
        <v>0</v>
      </c>
      <c r="R47" s="431">
        <f t="shared" si="19"/>
        <v>0</v>
      </c>
      <c r="S47" s="431">
        <f t="shared" si="19"/>
        <v>0</v>
      </c>
      <c r="T47" s="431">
        <f t="shared" si="19"/>
        <v>0</v>
      </c>
      <c r="U47" s="431">
        <f t="shared" si="19"/>
        <v>0</v>
      </c>
      <c r="V47" s="431">
        <f t="shared" si="19"/>
        <v>0</v>
      </c>
      <c r="W47" s="431">
        <f t="shared" si="19"/>
        <v>0</v>
      </c>
      <c r="X47" s="431">
        <f t="shared" si="19"/>
        <v>0</v>
      </c>
      <c r="Y47" s="431">
        <f t="shared" si="19"/>
        <v>0</v>
      </c>
      <c r="Z47" s="431">
        <f t="shared" si="19"/>
        <v>0</v>
      </c>
      <c r="AA47" s="431">
        <f t="shared" si="19"/>
        <v>0</v>
      </c>
      <c r="AB47" s="431">
        <f t="shared" si="19"/>
        <v>0</v>
      </c>
      <c r="AC47" s="431">
        <f t="shared" si="19"/>
        <v>0</v>
      </c>
      <c r="AD47" s="431">
        <f t="shared" si="19"/>
        <v>0</v>
      </c>
      <c r="AE47" s="431">
        <f t="shared" si="19"/>
        <v>0</v>
      </c>
      <c r="AF47" s="431">
        <f t="shared" si="19"/>
        <v>0</v>
      </c>
      <c r="AG47" s="431">
        <f t="shared" si="19"/>
        <v>0</v>
      </c>
      <c r="AH47" s="431">
        <f t="shared" si="19"/>
        <v>0</v>
      </c>
      <c r="AI47" s="431">
        <f t="shared" si="19"/>
        <v>0</v>
      </c>
      <c r="AJ47" s="431">
        <f t="shared" si="19"/>
        <v>0</v>
      </c>
      <c r="AK47" s="431">
        <f t="shared" si="19"/>
        <v>0</v>
      </c>
      <c r="AL47" s="431">
        <f t="shared" si="19"/>
        <v>0</v>
      </c>
      <c r="AM47" s="431">
        <f t="shared" si="19"/>
        <v>0</v>
      </c>
      <c r="AN47" s="431">
        <f t="shared" si="19"/>
        <v>0</v>
      </c>
      <c r="AO47" s="431">
        <f t="shared" si="19"/>
        <v>0</v>
      </c>
      <c r="AP47" s="431">
        <f t="shared" si="19"/>
        <v>0</v>
      </c>
      <c r="AQ47" s="431">
        <f t="shared" si="19"/>
        <v>0</v>
      </c>
      <c r="AR47" s="431">
        <f t="shared" si="19"/>
        <v>0</v>
      </c>
      <c r="AS47" s="431">
        <f t="shared" si="19"/>
        <v>0</v>
      </c>
      <c r="AT47" s="431">
        <f t="shared" si="19"/>
        <v>0</v>
      </c>
      <c r="AU47" s="431"/>
      <c r="AV47" s="431"/>
      <c r="AW47" s="431"/>
      <c r="AX47" s="431"/>
      <c r="AY47" s="431"/>
      <c r="AZ47" s="431"/>
      <c r="BA47" s="431"/>
      <c r="BB47" s="432"/>
      <c r="BC47" s="432"/>
      <c r="BD47" s="432"/>
      <c r="BE47" s="432"/>
      <c r="BF47" s="432"/>
      <c r="BG47" s="432"/>
      <c r="BH47" s="432"/>
      <c r="BI47" s="432"/>
      <c r="BJ47" s="432"/>
      <c r="BK47" s="432"/>
      <c r="BL47" s="432"/>
      <c r="BM47" s="432"/>
      <c r="BN47" s="432"/>
      <c r="BO47" s="432"/>
      <c r="BP47" s="432"/>
      <c r="BQ47" s="432"/>
      <c r="BR47" s="432"/>
      <c r="BS47" s="432"/>
      <c r="BT47" s="432"/>
      <c r="BU47" s="432"/>
      <c r="BV47" s="432"/>
      <c r="BW47" s="432"/>
      <c r="BX47" s="432"/>
      <c r="BY47" s="432"/>
      <c r="BZ47" s="432"/>
      <c r="CA47" s="432"/>
      <c r="CB47" s="432"/>
      <c r="CC47" s="432"/>
      <c r="CD47" s="432"/>
      <c r="CE47" s="432"/>
      <c r="CF47" s="432"/>
      <c r="CG47" s="432"/>
      <c r="CH47" s="432"/>
      <c r="CI47" s="432"/>
      <c r="CJ47" s="432"/>
      <c r="CK47" s="432"/>
      <c r="CL47" s="432"/>
      <c r="CM47" s="432"/>
      <c r="CN47" s="432"/>
      <c r="CO47" s="432"/>
      <c r="CP47" s="432"/>
      <c r="CQ47" s="432"/>
      <c r="CR47" s="432"/>
      <c r="CS47" s="432"/>
      <c r="CT47" s="432"/>
      <c r="CU47" s="432"/>
      <c r="CV47" s="432"/>
      <c r="CW47" s="432"/>
      <c r="CX47" s="432"/>
      <c r="CY47" s="432"/>
      <c r="CZ47" s="432"/>
      <c r="DA47" s="432"/>
      <c r="DB47" s="432"/>
      <c r="DC47" s="432"/>
      <c r="DD47" s="432"/>
      <c r="DE47" s="432"/>
      <c r="DF47" s="432"/>
      <c r="DG47" s="432"/>
      <c r="DH47" s="432"/>
      <c r="DI47" s="432"/>
      <c r="DJ47" s="432"/>
      <c r="DK47" s="432"/>
      <c r="DL47" s="432"/>
      <c r="DM47" s="432"/>
      <c r="DN47" s="432"/>
      <c r="DO47" s="432"/>
      <c r="DP47" s="432"/>
      <c r="DQ47" s="432"/>
      <c r="DR47" s="432"/>
      <c r="DS47" s="432"/>
      <c r="DT47" s="432"/>
      <c r="DU47" s="432"/>
      <c r="DV47" s="432"/>
      <c r="DW47" s="432"/>
      <c r="DX47" s="432"/>
      <c r="DY47" s="432"/>
      <c r="DZ47" s="432"/>
      <c r="EA47" s="432"/>
      <c r="EB47" s="432"/>
      <c r="EC47" s="432"/>
      <c r="ED47" s="432"/>
      <c r="EE47" s="432"/>
      <c r="EF47" s="432"/>
      <c r="EG47" s="432"/>
      <c r="EH47" s="432"/>
      <c r="EI47" s="432"/>
      <c r="EJ47" s="432"/>
      <c r="EK47" s="432"/>
      <c r="EL47" s="432"/>
      <c r="EM47" s="432"/>
      <c r="EN47" s="432"/>
      <c r="EO47" s="432"/>
      <c r="EP47" s="432"/>
      <c r="EQ47" s="432"/>
      <c r="ER47" s="432"/>
      <c r="ES47" s="432"/>
      <c r="ET47" s="432"/>
      <c r="EU47" s="432"/>
      <c r="EV47" s="432"/>
      <c r="EW47" s="432"/>
      <c r="EX47" s="432"/>
      <c r="EY47" s="432"/>
      <c r="EZ47" s="432"/>
      <c r="FA47" s="432"/>
      <c r="FB47" s="432"/>
      <c r="FC47" s="432"/>
      <c r="FD47" s="432"/>
      <c r="FE47" s="432"/>
      <c r="FF47" s="432"/>
      <c r="FG47" s="432"/>
      <c r="FH47" s="432"/>
      <c r="FI47" s="432"/>
    </row>
    <row r="48" spans="1:165" s="432" customFormat="1" hidden="1">
      <c r="A48" s="444" t="str">
        <f>Op_Costs!C40</f>
        <v>Other Maintenance</v>
      </c>
      <c r="B48" s="431" t="str">
        <f>IF(Deal_Overview!$V$17&gt;0,G48/Deal_Overview!$V$17,"")</f>
        <v/>
      </c>
      <c r="C48" s="445">
        <f>Op_Costs!J40</f>
        <v>0.03</v>
      </c>
      <c r="D48" s="698">
        <f>Op_Costs!D40</f>
        <v>0</v>
      </c>
      <c r="E48" s="698">
        <f>Op_Costs!E40</f>
        <v>0</v>
      </c>
      <c r="F48" s="698">
        <f>Op_Costs!F40</f>
        <v>0</v>
      </c>
      <c r="G48" s="297">
        <f>Op_Costs!G40</f>
        <v>0</v>
      </c>
      <c r="H48" s="431">
        <f t="shared" si="19"/>
        <v>0</v>
      </c>
      <c r="I48" s="431">
        <f t="shared" si="19"/>
        <v>0</v>
      </c>
      <c r="J48" s="431">
        <f t="shared" si="19"/>
        <v>0</v>
      </c>
      <c r="K48" s="431">
        <f t="shared" si="19"/>
        <v>0</v>
      </c>
      <c r="L48" s="431">
        <f t="shared" si="19"/>
        <v>0</v>
      </c>
      <c r="M48" s="431">
        <f t="shared" si="19"/>
        <v>0</v>
      </c>
      <c r="N48" s="431">
        <f t="shared" si="19"/>
        <v>0</v>
      </c>
      <c r="O48" s="431">
        <f t="shared" si="19"/>
        <v>0</v>
      </c>
      <c r="P48" s="431">
        <f t="shared" si="19"/>
        <v>0</v>
      </c>
      <c r="Q48" s="431">
        <f t="shared" si="19"/>
        <v>0</v>
      </c>
      <c r="R48" s="431">
        <f t="shared" si="19"/>
        <v>0</v>
      </c>
      <c r="S48" s="431">
        <f t="shared" si="19"/>
        <v>0</v>
      </c>
      <c r="T48" s="431">
        <f t="shared" si="19"/>
        <v>0</v>
      </c>
      <c r="U48" s="431">
        <f t="shared" si="19"/>
        <v>0</v>
      </c>
      <c r="V48" s="431">
        <f t="shared" si="19"/>
        <v>0</v>
      </c>
      <c r="W48" s="431">
        <f t="shared" si="19"/>
        <v>0</v>
      </c>
      <c r="X48" s="431">
        <f t="shared" si="19"/>
        <v>0</v>
      </c>
      <c r="Y48" s="431">
        <f t="shared" si="19"/>
        <v>0</v>
      </c>
      <c r="Z48" s="431">
        <f t="shared" si="19"/>
        <v>0</v>
      </c>
      <c r="AA48" s="431">
        <f t="shared" si="19"/>
        <v>0</v>
      </c>
      <c r="AB48" s="431">
        <f t="shared" si="19"/>
        <v>0</v>
      </c>
      <c r="AC48" s="431">
        <f t="shared" si="19"/>
        <v>0</v>
      </c>
      <c r="AD48" s="431">
        <f t="shared" si="19"/>
        <v>0</v>
      </c>
      <c r="AE48" s="431">
        <f t="shared" si="19"/>
        <v>0</v>
      </c>
      <c r="AF48" s="431">
        <f t="shared" si="19"/>
        <v>0</v>
      </c>
      <c r="AG48" s="431">
        <f t="shared" si="19"/>
        <v>0</v>
      </c>
      <c r="AH48" s="431">
        <f t="shared" si="19"/>
        <v>0</v>
      </c>
      <c r="AI48" s="431">
        <f t="shared" si="19"/>
        <v>0</v>
      </c>
      <c r="AJ48" s="431">
        <f t="shared" si="19"/>
        <v>0</v>
      </c>
      <c r="AK48" s="431">
        <f t="shared" si="19"/>
        <v>0</v>
      </c>
      <c r="AL48" s="431">
        <f t="shared" si="19"/>
        <v>0</v>
      </c>
      <c r="AM48" s="431">
        <f t="shared" si="19"/>
        <v>0</v>
      </c>
      <c r="AN48" s="431">
        <f t="shared" si="19"/>
        <v>0</v>
      </c>
      <c r="AO48" s="431">
        <f t="shared" si="19"/>
        <v>0</v>
      </c>
      <c r="AP48" s="431">
        <f t="shared" si="19"/>
        <v>0</v>
      </c>
      <c r="AQ48" s="431">
        <f t="shared" si="19"/>
        <v>0</v>
      </c>
      <c r="AR48" s="431">
        <f t="shared" si="19"/>
        <v>0</v>
      </c>
      <c r="AS48" s="431">
        <f t="shared" si="19"/>
        <v>0</v>
      </c>
      <c r="AT48" s="431">
        <f t="shared" si="19"/>
        <v>0</v>
      </c>
      <c r="AU48" s="431"/>
      <c r="AV48" s="431"/>
      <c r="AW48" s="431"/>
      <c r="AX48" s="431"/>
      <c r="AY48" s="431"/>
      <c r="AZ48" s="431"/>
      <c r="BA48" s="431"/>
    </row>
    <row r="49" spans="1:165" s="450" customFormat="1">
      <c r="A49" s="447" t="str">
        <f>Op_Costs!B41</f>
        <v>Maintenance Subtotal</v>
      </c>
      <c r="B49" s="448" t="str">
        <f>IF(Deal_Overview!$V$17&gt;0,G49/Deal_Overview!$V$17,"")</f>
        <v/>
      </c>
      <c r="C49" s="449"/>
      <c r="D49" s="699">
        <f>SUM(D38:D48)</f>
        <v>0</v>
      </c>
      <c r="E49" s="699">
        <f>SUM(E38:E48)</f>
        <v>0</v>
      </c>
      <c r="F49" s="699">
        <f>SUM(F38:F48)</f>
        <v>0</v>
      </c>
      <c r="G49" s="448">
        <f>SUM(G38:G48)</f>
        <v>0</v>
      </c>
      <c r="H49" s="448">
        <f>SUM(H38:H48)</f>
        <v>0</v>
      </c>
      <c r="I49" s="448">
        <f t="shared" ref="I49:AT49" si="20">SUM(I38:I48)</f>
        <v>0</v>
      </c>
      <c r="J49" s="448">
        <f t="shared" si="20"/>
        <v>0</v>
      </c>
      <c r="K49" s="448">
        <f t="shared" si="20"/>
        <v>0</v>
      </c>
      <c r="L49" s="448">
        <f t="shared" si="20"/>
        <v>0</v>
      </c>
      <c r="M49" s="448">
        <f t="shared" si="20"/>
        <v>0</v>
      </c>
      <c r="N49" s="448">
        <f t="shared" si="20"/>
        <v>0</v>
      </c>
      <c r="O49" s="448">
        <f t="shared" si="20"/>
        <v>0</v>
      </c>
      <c r="P49" s="448">
        <f t="shared" si="20"/>
        <v>0</v>
      </c>
      <c r="Q49" s="448">
        <f t="shared" si="20"/>
        <v>0</v>
      </c>
      <c r="R49" s="448">
        <f t="shared" si="20"/>
        <v>0</v>
      </c>
      <c r="S49" s="448">
        <f t="shared" si="20"/>
        <v>0</v>
      </c>
      <c r="T49" s="448">
        <f t="shared" si="20"/>
        <v>0</v>
      </c>
      <c r="U49" s="448">
        <f t="shared" si="20"/>
        <v>0</v>
      </c>
      <c r="V49" s="448">
        <f t="shared" si="20"/>
        <v>0</v>
      </c>
      <c r="W49" s="448">
        <f t="shared" si="20"/>
        <v>0</v>
      </c>
      <c r="X49" s="448">
        <f t="shared" si="20"/>
        <v>0</v>
      </c>
      <c r="Y49" s="448">
        <f t="shared" si="20"/>
        <v>0</v>
      </c>
      <c r="Z49" s="448">
        <f t="shared" si="20"/>
        <v>0</v>
      </c>
      <c r="AA49" s="448">
        <f t="shared" si="20"/>
        <v>0</v>
      </c>
      <c r="AB49" s="448">
        <f t="shared" si="20"/>
        <v>0</v>
      </c>
      <c r="AC49" s="448">
        <f t="shared" si="20"/>
        <v>0</v>
      </c>
      <c r="AD49" s="448">
        <f t="shared" si="20"/>
        <v>0</v>
      </c>
      <c r="AE49" s="448">
        <f t="shared" si="20"/>
        <v>0</v>
      </c>
      <c r="AF49" s="448">
        <f t="shared" si="20"/>
        <v>0</v>
      </c>
      <c r="AG49" s="448">
        <f t="shared" si="20"/>
        <v>0</v>
      </c>
      <c r="AH49" s="448">
        <f t="shared" si="20"/>
        <v>0</v>
      </c>
      <c r="AI49" s="448">
        <f t="shared" si="20"/>
        <v>0</v>
      </c>
      <c r="AJ49" s="448">
        <f t="shared" si="20"/>
        <v>0</v>
      </c>
      <c r="AK49" s="448">
        <f t="shared" si="20"/>
        <v>0</v>
      </c>
      <c r="AL49" s="448">
        <f t="shared" si="20"/>
        <v>0</v>
      </c>
      <c r="AM49" s="448">
        <f t="shared" si="20"/>
        <v>0</v>
      </c>
      <c r="AN49" s="448">
        <f t="shared" si="20"/>
        <v>0</v>
      </c>
      <c r="AO49" s="448">
        <f t="shared" si="20"/>
        <v>0</v>
      </c>
      <c r="AP49" s="448">
        <f t="shared" si="20"/>
        <v>0</v>
      </c>
      <c r="AQ49" s="448">
        <f t="shared" si="20"/>
        <v>0</v>
      </c>
      <c r="AR49" s="448">
        <f t="shared" si="20"/>
        <v>0</v>
      </c>
      <c r="AS49" s="448">
        <f t="shared" si="20"/>
        <v>0</v>
      </c>
      <c r="AT49" s="448">
        <f t="shared" si="20"/>
        <v>0</v>
      </c>
      <c r="AU49" s="448"/>
      <c r="AV49" s="448"/>
      <c r="AW49" s="448"/>
      <c r="AX49" s="448"/>
      <c r="AY49" s="448"/>
      <c r="AZ49" s="448"/>
      <c r="BA49" s="448"/>
    </row>
    <row r="50" spans="1:165" s="298" customFormat="1" hidden="1">
      <c r="A50" s="429" t="str">
        <f>Op_Costs!C42</f>
        <v>Turnover Costs</v>
      </c>
      <c r="B50" s="297" t="str">
        <f>IF(Deal_Overview!$V$17&gt;0,G50/Deal_Overview!$V$17,"")</f>
        <v/>
      </c>
      <c r="C50" s="430">
        <f>Op_Costs!J42</f>
        <v>0.03</v>
      </c>
      <c r="D50" s="698">
        <f>Op_Costs!D42</f>
        <v>0</v>
      </c>
      <c r="E50" s="698">
        <f>Op_Costs!E42</f>
        <v>0</v>
      </c>
      <c r="F50" s="698">
        <f>Op_Costs!F42</f>
        <v>0</v>
      </c>
      <c r="G50" s="297">
        <f>Op_Costs!G42</f>
        <v>0</v>
      </c>
      <c r="H50" s="431">
        <f t="shared" ref="H50:AT56" si="21">G50*(1+$C50)</f>
        <v>0</v>
      </c>
      <c r="I50" s="431">
        <f t="shared" si="21"/>
        <v>0</v>
      </c>
      <c r="J50" s="431">
        <f t="shared" si="21"/>
        <v>0</v>
      </c>
      <c r="K50" s="431">
        <f t="shared" si="21"/>
        <v>0</v>
      </c>
      <c r="L50" s="431">
        <f t="shared" si="21"/>
        <v>0</v>
      </c>
      <c r="M50" s="431">
        <f t="shared" si="21"/>
        <v>0</v>
      </c>
      <c r="N50" s="431">
        <f t="shared" si="21"/>
        <v>0</v>
      </c>
      <c r="O50" s="431">
        <f t="shared" si="21"/>
        <v>0</v>
      </c>
      <c r="P50" s="431">
        <f t="shared" si="21"/>
        <v>0</v>
      </c>
      <c r="Q50" s="431">
        <f t="shared" si="21"/>
        <v>0</v>
      </c>
      <c r="R50" s="431">
        <f t="shared" si="21"/>
        <v>0</v>
      </c>
      <c r="S50" s="431">
        <f t="shared" si="21"/>
        <v>0</v>
      </c>
      <c r="T50" s="431">
        <f t="shared" si="21"/>
        <v>0</v>
      </c>
      <c r="U50" s="431">
        <f t="shared" si="21"/>
        <v>0</v>
      </c>
      <c r="V50" s="431">
        <f t="shared" si="21"/>
        <v>0</v>
      </c>
      <c r="W50" s="431">
        <f t="shared" si="21"/>
        <v>0</v>
      </c>
      <c r="X50" s="431">
        <f t="shared" si="21"/>
        <v>0</v>
      </c>
      <c r="Y50" s="431">
        <f t="shared" si="21"/>
        <v>0</v>
      </c>
      <c r="Z50" s="431">
        <f t="shared" si="21"/>
        <v>0</v>
      </c>
      <c r="AA50" s="431">
        <f t="shared" si="21"/>
        <v>0</v>
      </c>
      <c r="AB50" s="431">
        <f t="shared" si="21"/>
        <v>0</v>
      </c>
      <c r="AC50" s="431">
        <f t="shared" si="21"/>
        <v>0</v>
      </c>
      <c r="AD50" s="431">
        <f t="shared" si="21"/>
        <v>0</v>
      </c>
      <c r="AE50" s="431">
        <f t="shared" si="21"/>
        <v>0</v>
      </c>
      <c r="AF50" s="431">
        <f t="shared" si="21"/>
        <v>0</v>
      </c>
      <c r="AG50" s="431">
        <f t="shared" si="21"/>
        <v>0</v>
      </c>
      <c r="AH50" s="431">
        <f t="shared" si="21"/>
        <v>0</v>
      </c>
      <c r="AI50" s="431">
        <f t="shared" si="21"/>
        <v>0</v>
      </c>
      <c r="AJ50" s="431">
        <f t="shared" si="21"/>
        <v>0</v>
      </c>
      <c r="AK50" s="431">
        <f t="shared" si="21"/>
        <v>0</v>
      </c>
      <c r="AL50" s="431">
        <f t="shared" si="21"/>
        <v>0</v>
      </c>
      <c r="AM50" s="431">
        <f t="shared" si="21"/>
        <v>0</v>
      </c>
      <c r="AN50" s="431">
        <f t="shared" si="21"/>
        <v>0</v>
      </c>
      <c r="AO50" s="431">
        <f t="shared" si="21"/>
        <v>0</v>
      </c>
      <c r="AP50" s="431">
        <f t="shared" si="21"/>
        <v>0</v>
      </c>
      <c r="AQ50" s="431">
        <f t="shared" si="21"/>
        <v>0</v>
      </c>
      <c r="AR50" s="431">
        <f t="shared" si="21"/>
        <v>0</v>
      </c>
      <c r="AS50" s="431">
        <f t="shared" si="21"/>
        <v>0</v>
      </c>
      <c r="AT50" s="431">
        <f t="shared" si="21"/>
        <v>0</v>
      </c>
      <c r="AU50" s="431"/>
      <c r="AV50" s="431"/>
      <c r="AW50" s="431"/>
      <c r="AX50" s="431"/>
      <c r="AY50" s="431"/>
      <c r="AZ50" s="431"/>
      <c r="BA50" s="431"/>
      <c r="BB50" s="432"/>
      <c r="BC50" s="432"/>
      <c r="BD50" s="432"/>
      <c r="BE50" s="432"/>
      <c r="BF50" s="432"/>
      <c r="BG50" s="432"/>
      <c r="BH50" s="432"/>
      <c r="BI50" s="432"/>
      <c r="BJ50" s="432"/>
      <c r="BK50" s="432"/>
      <c r="BL50" s="432"/>
      <c r="BM50" s="432"/>
      <c r="BN50" s="432"/>
      <c r="BO50" s="432"/>
      <c r="BP50" s="432"/>
      <c r="BQ50" s="432"/>
      <c r="BR50" s="432"/>
      <c r="BS50" s="432"/>
      <c r="BT50" s="432"/>
      <c r="BU50" s="432"/>
      <c r="BV50" s="432"/>
      <c r="BW50" s="432"/>
      <c r="BX50" s="432"/>
      <c r="BY50" s="432"/>
      <c r="BZ50" s="432"/>
      <c r="CA50" s="432"/>
      <c r="CB50" s="432"/>
      <c r="CC50" s="432"/>
      <c r="CD50" s="432"/>
      <c r="CE50" s="432"/>
      <c r="CF50" s="432"/>
      <c r="CG50" s="432"/>
      <c r="CH50" s="432"/>
      <c r="CI50" s="432"/>
      <c r="CJ50" s="432"/>
      <c r="CK50" s="432"/>
      <c r="CL50" s="432"/>
      <c r="CM50" s="432"/>
      <c r="CN50" s="432"/>
      <c r="CO50" s="432"/>
      <c r="CP50" s="432"/>
      <c r="CQ50" s="432"/>
      <c r="CR50" s="432"/>
      <c r="CS50" s="432"/>
      <c r="CT50" s="432"/>
      <c r="CU50" s="432"/>
      <c r="CV50" s="432"/>
      <c r="CW50" s="432"/>
      <c r="CX50" s="432"/>
      <c r="CY50" s="432"/>
      <c r="CZ50" s="432"/>
      <c r="DA50" s="432"/>
      <c r="DB50" s="432"/>
      <c r="DC50" s="432"/>
      <c r="DD50" s="432"/>
      <c r="DE50" s="432"/>
      <c r="DF50" s="432"/>
      <c r="DG50" s="432"/>
      <c r="DH50" s="432"/>
      <c r="DI50" s="432"/>
      <c r="DJ50" s="432"/>
      <c r="DK50" s="432"/>
      <c r="DL50" s="432"/>
      <c r="DM50" s="432"/>
      <c r="DN50" s="432"/>
      <c r="DO50" s="432"/>
      <c r="DP50" s="432"/>
      <c r="DQ50" s="432"/>
      <c r="DR50" s="432"/>
      <c r="DS50" s="432"/>
      <c r="DT50" s="432"/>
      <c r="DU50" s="432"/>
      <c r="DV50" s="432"/>
      <c r="DW50" s="432"/>
      <c r="DX50" s="432"/>
      <c r="DY50" s="432"/>
      <c r="DZ50" s="432"/>
      <c r="EA50" s="432"/>
      <c r="EB50" s="432"/>
      <c r="EC50" s="432"/>
      <c r="ED50" s="432"/>
      <c r="EE50" s="432"/>
      <c r="EF50" s="432"/>
      <c r="EG50" s="432"/>
      <c r="EH50" s="432"/>
      <c r="EI50" s="432"/>
      <c r="EJ50" s="432"/>
      <c r="EK50" s="432"/>
      <c r="EL50" s="432"/>
      <c r="EM50" s="432"/>
      <c r="EN50" s="432"/>
      <c r="EO50" s="432"/>
      <c r="EP50" s="432"/>
      <c r="EQ50" s="432"/>
      <c r="ER50" s="432"/>
      <c r="ES50" s="432"/>
      <c r="ET50" s="432"/>
      <c r="EU50" s="432"/>
      <c r="EV50" s="432"/>
      <c r="EW50" s="432"/>
      <c r="EX50" s="432"/>
      <c r="EY50" s="432"/>
      <c r="EZ50" s="432"/>
      <c r="FA50" s="432"/>
      <c r="FB50" s="432"/>
      <c r="FC50" s="432"/>
      <c r="FD50" s="432"/>
      <c r="FE50" s="432"/>
      <c r="FF50" s="432"/>
      <c r="FG50" s="432"/>
      <c r="FH50" s="432"/>
      <c r="FI50" s="432"/>
    </row>
    <row r="51" spans="1:165" s="298" customFormat="1" hidden="1">
      <c r="A51" s="429" t="str">
        <f>Op_Costs!C43</f>
        <v>Plumbing &amp; Electrical</v>
      </c>
      <c r="B51" s="297" t="str">
        <f>IF(Deal_Overview!$V$17&gt;0,G51/Deal_Overview!$V$17,"")</f>
        <v/>
      </c>
      <c r="C51" s="430">
        <f>Op_Costs!J43</f>
        <v>0.03</v>
      </c>
      <c r="D51" s="698">
        <f>Op_Costs!D43</f>
        <v>0</v>
      </c>
      <c r="E51" s="698">
        <f>Op_Costs!E43</f>
        <v>0</v>
      </c>
      <c r="F51" s="698">
        <f>Op_Costs!F43</f>
        <v>0</v>
      </c>
      <c r="G51" s="297">
        <f>Op_Costs!G43</f>
        <v>0</v>
      </c>
      <c r="H51" s="431">
        <f t="shared" si="21"/>
        <v>0</v>
      </c>
      <c r="I51" s="431">
        <f t="shared" si="21"/>
        <v>0</v>
      </c>
      <c r="J51" s="431">
        <f t="shared" si="21"/>
        <v>0</v>
      </c>
      <c r="K51" s="431">
        <f t="shared" si="21"/>
        <v>0</v>
      </c>
      <c r="L51" s="431">
        <f t="shared" si="21"/>
        <v>0</v>
      </c>
      <c r="M51" s="431">
        <f t="shared" si="21"/>
        <v>0</v>
      </c>
      <c r="N51" s="431">
        <f t="shared" si="21"/>
        <v>0</v>
      </c>
      <c r="O51" s="431">
        <f t="shared" si="21"/>
        <v>0</v>
      </c>
      <c r="P51" s="431">
        <f t="shared" si="21"/>
        <v>0</v>
      </c>
      <c r="Q51" s="431">
        <f t="shared" si="21"/>
        <v>0</v>
      </c>
      <c r="R51" s="431">
        <f t="shared" si="21"/>
        <v>0</v>
      </c>
      <c r="S51" s="431">
        <f t="shared" si="21"/>
        <v>0</v>
      </c>
      <c r="T51" s="431">
        <f t="shared" si="21"/>
        <v>0</v>
      </c>
      <c r="U51" s="431">
        <f t="shared" si="21"/>
        <v>0</v>
      </c>
      <c r="V51" s="431">
        <f t="shared" si="21"/>
        <v>0</v>
      </c>
      <c r="W51" s="431">
        <f t="shared" si="21"/>
        <v>0</v>
      </c>
      <c r="X51" s="431">
        <f t="shared" si="21"/>
        <v>0</v>
      </c>
      <c r="Y51" s="431">
        <f t="shared" si="21"/>
        <v>0</v>
      </c>
      <c r="Z51" s="431">
        <f t="shared" si="21"/>
        <v>0</v>
      </c>
      <c r="AA51" s="431">
        <f t="shared" si="21"/>
        <v>0</v>
      </c>
      <c r="AB51" s="431">
        <f t="shared" si="21"/>
        <v>0</v>
      </c>
      <c r="AC51" s="431">
        <f t="shared" si="21"/>
        <v>0</v>
      </c>
      <c r="AD51" s="431">
        <f t="shared" si="21"/>
        <v>0</v>
      </c>
      <c r="AE51" s="431">
        <f t="shared" si="21"/>
        <v>0</v>
      </c>
      <c r="AF51" s="431">
        <f t="shared" si="21"/>
        <v>0</v>
      </c>
      <c r="AG51" s="431">
        <f t="shared" si="21"/>
        <v>0</v>
      </c>
      <c r="AH51" s="431">
        <f t="shared" si="21"/>
        <v>0</v>
      </c>
      <c r="AI51" s="431">
        <f t="shared" si="21"/>
        <v>0</v>
      </c>
      <c r="AJ51" s="431">
        <f t="shared" si="21"/>
        <v>0</v>
      </c>
      <c r="AK51" s="431">
        <f t="shared" si="21"/>
        <v>0</v>
      </c>
      <c r="AL51" s="431">
        <f t="shared" si="21"/>
        <v>0</v>
      </c>
      <c r="AM51" s="431">
        <f t="shared" si="21"/>
        <v>0</v>
      </c>
      <c r="AN51" s="431">
        <f t="shared" si="21"/>
        <v>0</v>
      </c>
      <c r="AO51" s="431">
        <f t="shared" si="21"/>
        <v>0</v>
      </c>
      <c r="AP51" s="431">
        <f t="shared" si="21"/>
        <v>0</v>
      </c>
      <c r="AQ51" s="431">
        <f t="shared" si="21"/>
        <v>0</v>
      </c>
      <c r="AR51" s="431">
        <f t="shared" si="21"/>
        <v>0</v>
      </c>
      <c r="AS51" s="431">
        <f t="shared" si="21"/>
        <v>0</v>
      </c>
      <c r="AT51" s="431">
        <f t="shared" si="21"/>
        <v>0</v>
      </c>
      <c r="AU51" s="431"/>
      <c r="AV51" s="431"/>
      <c r="AW51" s="431"/>
      <c r="AX51" s="431"/>
      <c r="AY51" s="431"/>
      <c r="AZ51" s="431"/>
      <c r="BA51" s="431"/>
      <c r="BB51" s="432"/>
      <c r="BC51" s="432"/>
      <c r="BD51" s="432"/>
      <c r="BE51" s="432"/>
      <c r="BF51" s="432"/>
      <c r="BG51" s="432"/>
      <c r="BH51" s="432"/>
      <c r="BI51" s="432"/>
      <c r="BJ51" s="432"/>
      <c r="BK51" s="432"/>
      <c r="BL51" s="432"/>
      <c r="BM51" s="432"/>
      <c r="BN51" s="432"/>
      <c r="BO51" s="432"/>
      <c r="BP51" s="432"/>
      <c r="BQ51" s="432"/>
      <c r="BR51" s="432"/>
      <c r="BS51" s="432"/>
      <c r="BT51" s="432"/>
      <c r="BU51" s="432"/>
      <c r="BV51" s="432"/>
      <c r="BW51" s="432"/>
      <c r="BX51" s="432"/>
      <c r="BY51" s="432"/>
      <c r="BZ51" s="432"/>
      <c r="CA51" s="432"/>
      <c r="CB51" s="432"/>
      <c r="CC51" s="432"/>
      <c r="CD51" s="432"/>
      <c r="CE51" s="432"/>
      <c r="CF51" s="432"/>
      <c r="CG51" s="432"/>
      <c r="CH51" s="432"/>
      <c r="CI51" s="432"/>
      <c r="CJ51" s="432"/>
      <c r="CK51" s="432"/>
      <c r="CL51" s="432"/>
      <c r="CM51" s="432"/>
      <c r="CN51" s="432"/>
      <c r="CO51" s="432"/>
      <c r="CP51" s="432"/>
      <c r="CQ51" s="432"/>
      <c r="CR51" s="432"/>
      <c r="CS51" s="432"/>
      <c r="CT51" s="432"/>
      <c r="CU51" s="432"/>
      <c r="CV51" s="432"/>
      <c r="CW51" s="432"/>
      <c r="CX51" s="432"/>
      <c r="CY51" s="432"/>
      <c r="CZ51" s="432"/>
      <c r="DA51" s="432"/>
      <c r="DB51" s="432"/>
      <c r="DC51" s="432"/>
      <c r="DD51" s="432"/>
      <c r="DE51" s="432"/>
      <c r="DF51" s="432"/>
      <c r="DG51" s="432"/>
      <c r="DH51" s="432"/>
      <c r="DI51" s="432"/>
      <c r="DJ51" s="432"/>
      <c r="DK51" s="432"/>
      <c r="DL51" s="432"/>
      <c r="DM51" s="432"/>
      <c r="DN51" s="432"/>
      <c r="DO51" s="432"/>
      <c r="DP51" s="432"/>
      <c r="DQ51" s="432"/>
      <c r="DR51" s="432"/>
      <c r="DS51" s="432"/>
      <c r="DT51" s="432"/>
      <c r="DU51" s="432"/>
      <c r="DV51" s="432"/>
      <c r="DW51" s="432"/>
      <c r="DX51" s="432"/>
      <c r="DY51" s="432"/>
      <c r="DZ51" s="432"/>
      <c r="EA51" s="432"/>
      <c r="EB51" s="432"/>
      <c r="EC51" s="432"/>
      <c r="ED51" s="432"/>
      <c r="EE51" s="432"/>
      <c r="EF51" s="432"/>
      <c r="EG51" s="432"/>
      <c r="EH51" s="432"/>
      <c r="EI51" s="432"/>
      <c r="EJ51" s="432"/>
      <c r="EK51" s="432"/>
      <c r="EL51" s="432"/>
      <c r="EM51" s="432"/>
      <c r="EN51" s="432"/>
      <c r="EO51" s="432"/>
      <c r="EP51" s="432"/>
      <c r="EQ51" s="432"/>
      <c r="ER51" s="432"/>
      <c r="ES51" s="432"/>
      <c r="ET51" s="432"/>
      <c r="EU51" s="432"/>
      <c r="EV51" s="432"/>
      <c r="EW51" s="432"/>
      <c r="EX51" s="432"/>
      <c r="EY51" s="432"/>
      <c r="EZ51" s="432"/>
      <c r="FA51" s="432"/>
      <c r="FB51" s="432"/>
      <c r="FC51" s="432"/>
      <c r="FD51" s="432"/>
      <c r="FE51" s="432"/>
      <c r="FF51" s="432"/>
      <c r="FG51" s="432"/>
      <c r="FH51" s="432"/>
      <c r="FI51" s="432"/>
    </row>
    <row r="52" spans="1:165" s="298" customFormat="1" hidden="1">
      <c r="A52" s="429" t="str">
        <f>Op_Costs!C44</f>
        <v>Carpet Replacement</v>
      </c>
      <c r="B52" s="297" t="str">
        <f>IF(Deal_Overview!$V$17&gt;0,G52/Deal_Overview!$V$17,"")</f>
        <v/>
      </c>
      <c r="C52" s="430">
        <f>Op_Costs!J44</f>
        <v>0.03</v>
      </c>
      <c r="D52" s="698">
        <f>Op_Costs!D44</f>
        <v>0</v>
      </c>
      <c r="E52" s="698">
        <f>Op_Costs!E44</f>
        <v>0</v>
      </c>
      <c r="F52" s="698">
        <f>Op_Costs!F44</f>
        <v>0</v>
      </c>
      <c r="G52" s="297">
        <f>Op_Costs!G44</f>
        <v>0</v>
      </c>
      <c r="H52" s="431">
        <f t="shared" si="21"/>
        <v>0</v>
      </c>
      <c r="I52" s="431">
        <f t="shared" si="21"/>
        <v>0</v>
      </c>
      <c r="J52" s="431">
        <f t="shared" si="21"/>
        <v>0</v>
      </c>
      <c r="K52" s="431">
        <f t="shared" si="21"/>
        <v>0</v>
      </c>
      <c r="L52" s="431">
        <f t="shared" si="21"/>
        <v>0</v>
      </c>
      <c r="M52" s="431">
        <f t="shared" si="21"/>
        <v>0</v>
      </c>
      <c r="N52" s="431">
        <f t="shared" si="21"/>
        <v>0</v>
      </c>
      <c r="O52" s="431">
        <f t="shared" si="21"/>
        <v>0</v>
      </c>
      <c r="P52" s="431">
        <f t="shared" si="21"/>
        <v>0</v>
      </c>
      <c r="Q52" s="431">
        <f t="shared" si="21"/>
        <v>0</v>
      </c>
      <c r="R52" s="431">
        <f t="shared" si="21"/>
        <v>0</v>
      </c>
      <c r="S52" s="431">
        <f t="shared" si="21"/>
        <v>0</v>
      </c>
      <c r="T52" s="431">
        <f t="shared" si="21"/>
        <v>0</v>
      </c>
      <c r="U52" s="431">
        <f t="shared" si="21"/>
        <v>0</v>
      </c>
      <c r="V52" s="431">
        <f t="shared" si="21"/>
        <v>0</v>
      </c>
      <c r="W52" s="431">
        <f t="shared" si="21"/>
        <v>0</v>
      </c>
      <c r="X52" s="431">
        <f t="shared" si="21"/>
        <v>0</v>
      </c>
      <c r="Y52" s="431">
        <f t="shared" si="21"/>
        <v>0</v>
      </c>
      <c r="Z52" s="431">
        <f t="shared" si="21"/>
        <v>0</v>
      </c>
      <c r="AA52" s="431">
        <f t="shared" si="21"/>
        <v>0</v>
      </c>
      <c r="AB52" s="431">
        <f t="shared" si="21"/>
        <v>0</v>
      </c>
      <c r="AC52" s="431">
        <f t="shared" si="21"/>
        <v>0</v>
      </c>
      <c r="AD52" s="431">
        <f t="shared" si="21"/>
        <v>0</v>
      </c>
      <c r="AE52" s="431">
        <f t="shared" si="21"/>
        <v>0</v>
      </c>
      <c r="AF52" s="431">
        <f t="shared" si="21"/>
        <v>0</v>
      </c>
      <c r="AG52" s="431">
        <f t="shared" si="21"/>
        <v>0</v>
      </c>
      <c r="AH52" s="431">
        <f t="shared" si="21"/>
        <v>0</v>
      </c>
      <c r="AI52" s="431">
        <f t="shared" si="21"/>
        <v>0</v>
      </c>
      <c r="AJ52" s="431">
        <f t="shared" si="21"/>
        <v>0</v>
      </c>
      <c r="AK52" s="431">
        <f t="shared" si="21"/>
        <v>0</v>
      </c>
      <c r="AL52" s="431">
        <f t="shared" si="21"/>
        <v>0</v>
      </c>
      <c r="AM52" s="431">
        <f t="shared" si="21"/>
        <v>0</v>
      </c>
      <c r="AN52" s="431">
        <f t="shared" si="21"/>
        <v>0</v>
      </c>
      <c r="AO52" s="431">
        <f t="shared" si="21"/>
        <v>0</v>
      </c>
      <c r="AP52" s="431">
        <f t="shared" si="21"/>
        <v>0</v>
      </c>
      <c r="AQ52" s="431">
        <f t="shared" si="21"/>
        <v>0</v>
      </c>
      <c r="AR52" s="431">
        <f t="shared" si="21"/>
        <v>0</v>
      </c>
      <c r="AS52" s="431">
        <f t="shared" si="21"/>
        <v>0</v>
      </c>
      <c r="AT52" s="431">
        <f t="shared" si="21"/>
        <v>0</v>
      </c>
      <c r="AU52" s="431"/>
      <c r="AV52" s="431"/>
      <c r="AW52" s="431"/>
      <c r="AX52" s="431"/>
      <c r="AY52" s="431"/>
      <c r="AZ52" s="431"/>
      <c r="BA52" s="431"/>
      <c r="BB52" s="432"/>
      <c r="BC52" s="432"/>
      <c r="BD52" s="432"/>
      <c r="BE52" s="432"/>
      <c r="BF52" s="432"/>
      <c r="BG52" s="432"/>
      <c r="BH52" s="432"/>
      <c r="BI52" s="432"/>
      <c r="BJ52" s="432"/>
      <c r="BK52" s="432"/>
      <c r="BL52" s="432"/>
      <c r="BM52" s="432"/>
      <c r="BN52" s="432"/>
      <c r="BO52" s="432"/>
      <c r="BP52" s="432"/>
      <c r="BQ52" s="432"/>
      <c r="BR52" s="432"/>
      <c r="BS52" s="432"/>
      <c r="BT52" s="432"/>
      <c r="BU52" s="432"/>
      <c r="BV52" s="432"/>
      <c r="BW52" s="432"/>
      <c r="BX52" s="432"/>
      <c r="BY52" s="432"/>
      <c r="BZ52" s="432"/>
      <c r="CA52" s="432"/>
      <c r="CB52" s="432"/>
      <c r="CC52" s="432"/>
      <c r="CD52" s="432"/>
      <c r="CE52" s="432"/>
      <c r="CF52" s="432"/>
      <c r="CG52" s="432"/>
      <c r="CH52" s="432"/>
      <c r="CI52" s="432"/>
      <c r="CJ52" s="432"/>
      <c r="CK52" s="432"/>
      <c r="CL52" s="432"/>
      <c r="CM52" s="432"/>
      <c r="CN52" s="432"/>
      <c r="CO52" s="432"/>
      <c r="CP52" s="432"/>
      <c r="CQ52" s="432"/>
      <c r="CR52" s="432"/>
      <c r="CS52" s="432"/>
      <c r="CT52" s="432"/>
      <c r="CU52" s="432"/>
      <c r="CV52" s="432"/>
      <c r="CW52" s="432"/>
      <c r="CX52" s="432"/>
      <c r="CY52" s="432"/>
      <c r="CZ52" s="432"/>
      <c r="DA52" s="432"/>
      <c r="DB52" s="432"/>
      <c r="DC52" s="432"/>
      <c r="DD52" s="432"/>
      <c r="DE52" s="432"/>
      <c r="DF52" s="432"/>
      <c r="DG52" s="432"/>
      <c r="DH52" s="432"/>
      <c r="DI52" s="432"/>
      <c r="DJ52" s="432"/>
      <c r="DK52" s="432"/>
      <c r="DL52" s="432"/>
      <c r="DM52" s="432"/>
      <c r="DN52" s="432"/>
      <c r="DO52" s="432"/>
      <c r="DP52" s="432"/>
      <c r="DQ52" s="432"/>
      <c r="DR52" s="432"/>
      <c r="DS52" s="432"/>
      <c r="DT52" s="432"/>
      <c r="DU52" s="432"/>
      <c r="DV52" s="432"/>
      <c r="DW52" s="432"/>
      <c r="DX52" s="432"/>
      <c r="DY52" s="432"/>
      <c r="DZ52" s="432"/>
      <c r="EA52" s="432"/>
      <c r="EB52" s="432"/>
      <c r="EC52" s="432"/>
      <c r="ED52" s="432"/>
      <c r="EE52" s="432"/>
      <c r="EF52" s="432"/>
      <c r="EG52" s="432"/>
      <c r="EH52" s="432"/>
      <c r="EI52" s="432"/>
      <c r="EJ52" s="432"/>
      <c r="EK52" s="432"/>
      <c r="EL52" s="432"/>
      <c r="EM52" s="432"/>
      <c r="EN52" s="432"/>
      <c r="EO52" s="432"/>
      <c r="EP52" s="432"/>
      <c r="EQ52" s="432"/>
      <c r="ER52" s="432"/>
      <c r="ES52" s="432"/>
      <c r="ET52" s="432"/>
      <c r="EU52" s="432"/>
      <c r="EV52" s="432"/>
      <c r="EW52" s="432"/>
      <c r="EX52" s="432"/>
      <c r="EY52" s="432"/>
      <c r="EZ52" s="432"/>
      <c r="FA52" s="432"/>
      <c r="FB52" s="432"/>
      <c r="FC52" s="432"/>
      <c r="FD52" s="432"/>
      <c r="FE52" s="432"/>
      <c r="FF52" s="432"/>
      <c r="FG52" s="432"/>
      <c r="FH52" s="432"/>
      <c r="FI52" s="432"/>
    </row>
    <row r="53" spans="1:165" s="298" customFormat="1" hidden="1">
      <c r="A53" s="429" t="str">
        <f>Op_Costs!C45</f>
        <v>Appliance Repair</v>
      </c>
      <c r="B53" s="297" t="str">
        <f>IF(Deal_Overview!$V$17&gt;0,G53/Deal_Overview!$V$17,"")</f>
        <v/>
      </c>
      <c r="C53" s="430">
        <f>Op_Costs!J45</f>
        <v>0.03</v>
      </c>
      <c r="D53" s="698">
        <f>Op_Costs!D45</f>
        <v>0</v>
      </c>
      <c r="E53" s="698">
        <f>Op_Costs!E45</f>
        <v>0</v>
      </c>
      <c r="F53" s="698">
        <f>Op_Costs!F45</f>
        <v>0</v>
      </c>
      <c r="G53" s="297">
        <f>Op_Costs!G45</f>
        <v>0</v>
      </c>
      <c r="H53" s="431">
        <f t="shared" si="21"/>
        <v>0</v>
      </c>
      <c r="I53" s="431">
        <f t="shared" si="21"/>
        <v>0</v>
      </c>
      <c r="J53" s="431">
        <f t="shared" si="21"/>
        <v>0</v>
      </c>
      <c r="K53" s="431">
        <f t="shared" si="21"/>
        <v>0</v>
      </c>
      <c r="L53" s="431">
        <f t="shared" si="21"/>
        <v>0</v>
      </c>
      <c r="M53" s="431">
        <f t="shared" si="21"/>
        <v>0</v>
      </c>
      <c r="N53" s="431">
        <f t="shared" si="21"/>
        <v>0</v>
      </c>
      <c r="O53" s="431">
        <f t="shared" si="21"/>
        <v>0</v>
      </c>
      <c r="P53" s="431">
        <f t="shared" si="21"/>
        <v>0</v>
      </c>
      <c r="Q53" s="431">
        <f t="shared" si="21"/>
        <v>0</v>
      </c>
      <c r="R53" s="431">
        <f t="shared" si="21"/>
        <v>0</v>
      </c>
      <c r="S53" s="431">
        <f t="shared" si="21"/>
        <v>0</v>
      </c>
      <c r="T53" s="431">
        <f t="shared" si="21"/>
        <v>0</v>
      </c>
      <c r="U53" s="431">
        <f t="shared" si="21"/>
        <v>0</v>
      </c>
      <c r="V53" s="431">
        <f t="shared" si="21"/>
        <v>0</v>
      </c>
      <c r="W53" s="431">
        <f t="shared" si="21"/>
        <v>0</v>
      </c>
      <c r="X53" s="431">
        <f t="shared" si="21"/>
        <v>0</v>
      </c>
      <c r="Y53" s="431">
        <f t="shared" si="21"/>
        <v>0</v>
      </c>
      <c r="Z53" s="431">
        <f t="shared" si="21"/>
        <v>0</v>
      </c>
      <c r="AA53" s="431">
        <f t="shared" si="21"/>
        <v>0</v>
      </c>
      <c r="AB53" s="431">
        <f t="shared" si="21"/>
        <v>0</v>
      </c>
      <c r="AC53" s="431">
        <f t="shared" si="21"/>
        <v>0</v>
      </c>
      <c r="AD53" s="431">
        <f t="shared" si="21"/>
        <v>0</v>
      </c>
      <c r="AE53" s="431">
        <f t="shared" si="21"/>
        <v>0</v>
      </c>
      <c r="AF53" s="431">
        <f t="shared" si="21"/>
        <v>0</v>
      </c>
      <c r="AG53" s="431">
        <f t="shared" si="21"/>
        <v>0</v>
      </c>
      <c r="AH53" s="431">
        <f t="shared" si="21"/>
        <v>0</v>
      </c>
      <c r="AI53" s="431">
        <f t="shared" si="21"/>
        <v>0</v>
      </c>
      <c r="AJ53" s="431">
        <f t="shared" si="21"/>
        <v>0</v>
      </c>
      <c r="AK53" s="431">
        <f t="shared" si="21"/>
        <v>0</v>
      </c>
      <c r="AL53" s="431">
        <f t="shared" si="21"/>
        <v>0</v>
      </c>
      <c r="AM53" s="431">
        <f t="shared" si="21"/>
        <v>0</v>
      </c>
      <c r="AN53" s="431">
        <f t="shared" si="21"/>
        <v>0</v>
      </c>
      <c r="AO53" s="431">
        <f t="shared" si="21"/>
        <v>0</v>
      </c>
      <c r="AP53" s="431">
        <f t="shared" si="21"/>
        <v>0</v>
      </c>
      <c r="AQ53" s="431">
        <f t="shared" si="21"/>
        <v>0</v>
      </c>
      <c r="AR53" s="431">
        <f t="shared" si="21"/>
        <v>0</v>
      </c>
      <c r="AS53" s="431">
        <f t="shared" si="21"/>
        <v>0</v>
      </c>
      <c r="AT53" s="431">
        <f t="shared" si="21"/>
        <v>0</v>
      </c>
      <c r="AU53" s="431"/>
      <c r="AV53" s="431"/>
      <c r="AW53" s="431"/>
      <c r="AX53" s="431"/>
      <c r="AY53" s="431"/>
      <c r="AZ53" s="431"/>
      <c r="BA53" s="431"/>
      <c r="BB53" s="432"/>
      <c r="BC53" s="432"/>
      <c r="BD53" s="432"/>
      <c r="BE53" s="432"/>
      <c r="BF53" s="432"/>
      <c r="BG53" s="432"/>
      <c r="BH53" s="432"/>
      <c r="BI53" s="432"/>
      <c r="BJ53" s="432"/>
      <c r="BK53" s="432"/>
      <c r="BL53" s="432"/>
      <c r="BM53" s="432"/>
      <c r="BN53" s="432"/>
      <c r="BO53" s="432"/>
      <c r="BP53" s="432"/>
      <c r="BQ53" s="432"/>
      <c r="BR53" s="432"/>
      <c r="BS53" s="432"/>
      <c r="BT53" s="432"/>
      <c r="BU53" s="432"/>
      <c r="BV53" s="432"/>
      <c r="BW53" s="432"/>
      <c r="BX53" s="432"/>
      <c r="BY53" s="432"/>
      <c r="BZ53" s="432"/>
      <c r="CA53" s="432"/>
      <c r="CB53" s="432"/>
      <c r="CC53" s="432"/>
      <c r="CD53" s="432"/>
      <c r="CE53" s="432"/>
      <c r="CF53" s="432"/>
      <c r="CG53" s="432"/>
      <c r="CH53" s="432"/>
      <c r="CI53" s="432"/>
      <c r="CJ53" s="432"/>
      <c r="CK53" s="432"/>
      <c r="CL53" s="432"/>
      <c r="CM53" s="432"/>
      <c r="CN53" s="432"/>
      <c r="CO53" s="432"/>
      <c r="CP53" s="432"/>
      <c r="CQ53" s="432"/>
      <c r="CR53" s="432"/>
      <c r="CS53" s="432"/>
      <c r="CT53" s="432"/>
      <c r="CU53" s="432"/>
      <c r="CV53" s="432"/>
      <c r="CW53" s="432"/>
      <c r="CX53" s="432"/>
      <c r="CY53" s="432"/>
      <c r="CZ53" s="432"/>
      <c r="DA53" s="432"/>
      <c r="DB53" s="432"/>
      <c r="DC53" s="432"/>
      <c r="DD53" s="432"/>
      <c r="DE53" s="432"/>
      <c r="DF53" s="432"/>
      <c r="DG53" s="432"/>
      <c r="DH53" s="432"/>
      <c r="DI53" s="432"/>
      <c r="DJ53" s="432"/>
      <c r="DK53" s="432"/>
      <c r="DL53" s="432"/>
      <c r="DM53" s="432"/>
      <c r="DN53" s="432"/>
      <c r="DO53" s="432"/>
      <c r="DP53" s="432"/>
      <c r="DQ53" s="432"/>
      <c r="DR53" s="432"/>
      <c r="DS53" s="432"/>
      <c r="DT53" s="432"/>
      <c r="DU53" s="432"/>
      <c r="DV53" s="432"/>
      <c r="DW53" s="432"/>
      <c r="DX53" s="432"/>
      <c r="DY53" s="432"/>
      <c r="DZ53" s="432"/>
      <c r="EA53" s="432"/>
      <c r="EB53" s="432"/>
      <c r="EC53" s="432"/>
      <c r="ED53" s="432"/>
      <c r="EE53" s="432"/>
      <c r="EF53" s="432"/>
      <c r="EG53" s="432"/>
      <c r="EH53" s="432"/>
      <c r="EI53" s="432"/>
      <c r="EJ53" s="432"/>
      <c r="EK53" s="432"/>
      <c r="EL53" s="432"/>
      <c r="EM53" s="432"/>
      <c r="EN53" s="432"/>
      <c r="EO53" s="432"/>
      <c r="EP53" s="432"/>
      <c r="EQ53" s="432"/>
      <c r="ER53" s="432"/>
      <c r="ES53" s="432"/>
      <c r="ET53" s="432"/>
      <c r="EU53" s="432"/>
      <c r="EV53" s="432"/>
      <c r="EW53" s="432"/>
      <c r="EX53" s="432"/>
      <c r="EY53" s="432"/>
      <c r="EZ53" s="432"/>
      <c r="FA53" s="432"/>
      <c r="FB53" s="432"/>
      <c r="FC53" s="432"/>
      <c r="FD53" s="432"/>
      <c r="FE53" s="432"/>
      <c r="FF53" s="432"/>
      <c r="FG53" s="432"/>
      <c r="FH53" s="432"/>
      <c r="FI53" s="432"/>
    </row>
    <row r="54" spans="1:165" s="298" customFormat="1" hidden="1">
      <c r="A54" s="429" t="str">
        <f>Op_Costs!C46</f>
        <v>Painting &amp; Decorating</v>
      </c>
      <c r="B54" s="297" t="str">
        <f>IF(Deal_Overview!$V$17&gt;0,G54/Deal_Overview!$V$17,"")</f>
        <v/>
      </c>
      <c r="C54" s="430">
        <f>Op_Costs!J46</f>
        <v>0.03</v>
      </c>
      <c r="D54" s="698">
        <f>Op_Costs!D46</f>
        <v>0</v>
      </c>
      <c r="E54" s="698">
        <f>Op_Costs!E46</f>
        <v>0</v>
      </c>
      <c r="F54" s="698">
        <f>Op_Costs!F46</f>
        <v>0</v>
      </c>
      <c r="G54" s="297">
        <f>Op_Costs!G46</f>
        <v>0</v>
      </c>
      <c r="H54" s="431">
        <f t="shared" si="21"/>
        <v>0</v>
      </c>
      <c r="I54" s="431">
        <f t="shared" si="21"/>
        <v>0</v>
      </c>
      <c r="J54" s="431">
        <f t="shared" si="21"/>
        <v>0</v>
      </c>
      <c r="K54" s="431">
        <f t="shared" si="21"/>
        <v>0</v>
      </c>
      <c r="L54" s="431">
        <f t="shared" si="21"/>
        <v>0</v>
      </c>
      <c r="M54" s="431">
        <f t="shared" si="21"/>
        <v>0</v>
      </c>
      <c r="N54" s="431">
        <f t="shared" si="21"/>
        <v>0</v>
      </c>
      <c r="O54" s="431">
        <f t="shared" si="21"/>
        <v>0</v>
      </c>
      <c r="P54" s="431">
        <f t="shared" si="21"/>
        <v>0</v>
      </c>
      <c r="Q54" s="431">
        <f t="shared" si="21"/>
        <v>0</v>
      </c>
      <c r="R54" s="431">
        <f t="shared" si="21"/>
        <v>0</v>
      </c>
      <c r="S54" s="431">
        <f t="shared" si="21"/>
        <v>0</v>
      </c>
      <c r="T54" s="431">
        <f t="shared" si="21"/>
        <v>0</v>
      </c>
      <c r="U54" s="431">
        <f t="shared" si="21"/>
        <v>0</v>
      </c>
      <c r="V54" s="431">
        <f t="shared" si="21"/>
        <v>0</v>
      </c>
      <c r="W54" s="431">
        <f t="shared" si="21"/>
        <v>0</v>
      </c>
      <c r="X54" s="431">
        <f t="shared" si="21"/>
        <v>0</v>
      </c>
      <c r="Y54" s="431">
        <f t="shared" si="21"/>
        <v>0</v>
      </c>
      <c r="Z54" s="431">
        <f t="shared" si="21"/>
        <v>0</v>
      </c>
      <c r="AA54" s="431">
        <f t="shared" si="21"/>
        <v>0</v>
      </c>
      <c r="AB54" s="431">
        <f t="shared" si="21"/>
        <v>0</v>
      </c>
      <c r="AC54" s="431">
        <f t="shared" si="21"/>
        <v>0</v>
      </c>
      <c r="AD54" s="431">
        <f t="shared" si="21"/>
        <v>0</v>
      </c>
      <c r="AE54" s="431">
        <f t="shared" si="21"/>
        <v>0</v>
      </c>
      <c r="AF54" s="431">
        <f t="shared" si="21"/>
        <v>0</v>
      </c>
      <c r="AG54" s="431">
        <f t="shared" si="21"/>
        <v>0</v>
      </c>
      <c r="AH54" s="431">
        <f t="shared" si="21"/>
        <v>0</v>
      </c>
      <c r="AI54" s="431">
        <f t="shared" si="21"/>
        <v>0</v>
      </c>
      <c r="AJ54" s="431">
        <f t="shared" si="21"/>
        <v>0</v>
      </c>
      <c r="AK54" s="431">
        <f t="shared" si="21"/>
        <v>0</v>
      </c>
      <c r="AL54" s="431">
        <f t="shared" si="21"/>
        <v>0</v>
      </c>
      <c r="AM54" s="431">
        <f t="shared" si="21"/>
        <v>0</v>
      </c>
      <c r="AN54" s="431">
        <f t="shared" si="21"/>
        <v>0</v>
      </c>
      <c r="AO54" s="431">
        <f t="shared" si="21"/>
        <v>0</v>
      </c>
      <c r="AP54" s="431">
        <f t="shared" si="21"/>
        <v>0</v>
      </c>
      <c r="AQ54" s="431">
        <f t="shared" si="21"/>
        <v>0</v>
      </c>
      <c r="AR54" s="431">
        <f t="shared" si="21"/>
        <v>0</v>
      </c>
      <c r="AS54" s="431">
        <f t="shared" si="21"/>
        <v>0</v>
      </c>
      <c r="AT54" s="431">
        <f t="shared" si="21"/>
        <v>0</v>
      </c>
      <c r="AU54" s="431"/>
      <c r="AV54" s="431"/>
      <c r="AW54" s="431"/>
      <c r="AX54" s="431"/>
      <c r="AY54" s="431"/>
      <c r="AZ54" s="431"/>
      <c r="BA54" s="431"/>
      <c r="BB54" s="432"/>
      <c r="BC54" s="432"/>
      <c r="BD54" s="432"/>
      <c r="BE54" s="432"/>
      <c r="BF54" s="432"/>
      <c r="BG54" s="432"/>
      <c r="BH54" s="432"/>
      <c r="BI54" s="432"/>
      <c r="BJ54" s="432"/>
      <c r="BK54" s="432"/>
      <c r="BL54" s="432"/>
      <c r="BM54" s="432"/>
      <c r="BN54" s="432"/>
      <c r="BO54" s="432"/>
      <c r="BP54" s="432"/>
      <c r="BQ54" s="432"/>
      <c r="BR54" s="432"/>
      <c r="BS54" s="432"/>
      <c r="BT54" s="432"/>
      <c r="BU54" s="432"/>
      <c r="BV54" s="432"/>
      <c r="BW54" s="432"/>
      <c r="BX54" s="432"/>
      <c r="BY54" s="432"/>
      <c r="BZ54" s="432"/>
      <c r="CA54" s="432"/>
      <c r="CB54" s="432"/>
      <c r="CC54" s="432"/>
      <c r="CD54" s="432"/>
      <c r="CE54" s="432"/>
      <c r="CF54" s="432"/>
      <c r="CG54" s="432"/>
      <c r="CH54" s="432"/>
      <c r="CI54" s="432"/>
      <c r="CJ54" s="432"/>
      <c r="CK54" s="432"/>
      <c r="CL54" s="432"/>
      <c r="CM54" s="432"/>
      <c r="CN54" s="432"/>
      <c r="CO54" s="432"/>
      <c r="CP54" s="432"/>
      <c r="CQ54" s="432"/>
      <c r="CR54" s="432"/>
      <c r="CS54" s="432"/>
      <c r="CT54" s="432"/>
      <c r="CU54" s="432"/>
      <c r="CV54" s="432"/>
      <c r="CW54" s="432"/>
      <c r="CX54" s="432"/>
      <c r="CY54" s="432"/>
      <c r="CZ54" s="432"/>
      <c r="DA54" s="432"/>
      <c r="DB54" s="432"/>
      <c r="DC54" s="432"/>
      <c r="DD54" s="432"/>
      <c r="DE54" s="432"/>
      <c r="DF54" s="432"/>
      <c r="DG54" s="432"/>
      <c r="DH54" s="432"/>
      <c r="DI54" s="432"/>
      <c r="DJ54" s="432"/>
      <c r="DK54" s="432"/>
      <c r="DL54" s="432"/>
      <c r="DM54" s="432"/>
      <c r="DN54" s="432"/>
      <c r="DO54" s="432"/>
      <c r="DP54" s="432"/>
      <c r="DQ54" s="432"/>
      <c r="DR54" s="432"/>
      <c r="DS54" s="432"/>
      <c r="DT54" s="432"/>
      <c r="DU54" s="432"/>
      <c r="DV54" s="432"/>
      <c r="DW54" s="432"/>
      <c r="DX54" s="432"/>
      <c r="DY54" s="432"/>
      <c r="DZ54" s="432"/>
      <c r="EA54" s="432"/>
      <c r="EB54" s="432"/>
      <c r="EC54" s="432"/>
      <c r="ED54" s="432"/>
      <c r="EE54" s="432"/>
      <c r="EF54" s="432"/>
      <c r="EG54" s="432"/>
      <c r="EH54" s="432"/>
      <c r="EI54" s="432"/>
      <c r="EJ54" s="432"/>
      <c r="EK54" s="432"/>
      <c r="EL54" s="432"/>
      <c r="EM54" s="432"/>
      <c r="EN54" s="432"/>
      <c r="EO54" s="432"/>
      <c r="EP54" s="432"/>
      <c r="EQ54" s="432"/>
      <c r="ER54" s="432"/>
      <c r="ES54" s="432"/>
      <c r="ET54" s="432"/>
      <c r="EU54" s="432"/>
      <c r="EV54" s="432"/>
      <c r="EW54" s="432"/>
      <c r="EX54" s="432"/>
      <c r="EY54" s="432"/>
      <c r="EZ54" s="432"/>
      <c r="FA54" s="432"/>
      <c r="FB54" s="432"/>
      <c r="FC54" s="432"/>
      <c r="FD54" s="432"/>
      <c r="FE54" s="432"/>
      <c r="FF54" s="432"/>
      <c r="FG54" s="432"/>
      <c r="FH54" s="432"/>
      <c r="FI54" s="432"/>
    </row>
    <row r="55" spans="1:165" s="298" customFormat="1" hidden="1">
      <c r="A55" s="429" t="str">
        <f>Op_Costs!C47</f>
        <v>Tools &amp; Supplies</v>
      </c>
      <c r="B55" s="297" t="str">
        <f>IF(Deal_Overview!$V$17&gt;0,G55/Deal_Overview!$V$17,"")</f>
        <v/>
      </c>
      <c r="C55" s="430">
        <f>Op_Costs!J47</f>
        <v>0.03</v>
      </c>
      <c r="D55" s="698">
        <f>Op_Costs!D47</f>
        <v>0</v>
      </c>
      <c r="E55" s="698">
        <f>Op_Costs!E47</f>
        <v>0</v>
      </c>
      <c r="F55" s="698">
        <f>Op_Costs!F47</f>
        <v>0</v>
      </c>
      <c r="G55" s="297">
        <f>Op_Costs!G47</f>
        <v>0</v>
      </c>
      <c r="H55" s="431">
        <f t="shared" si="21"/>
        <v>0</v>
      </c>
      <c r="I55" s="431">
        <f t="shared" si="21"/>
        <v>0</v>
      </c>
      <c r="J55" s="431">
        <f t="shared" si="21"/>
        <v>0</v>
      </c>
      <c r="K55" s="431">
        <f t="shared" si="21"/>
        <v>0</v>
      </c>
      <c r="L55" s="431">
        <f t="shared" si="21"/>
        <v>0</v>
      </c>
      <c r="M55" s="431">
        <f t="shared" si="21"/>
        <v>0</v>
      </c>
      <c r="N55" s="431">
        <f t="shared" si="21"/>
        <v>0</v>
      </c>
      <c r="O55" s="431">
        <f t="shared" si="21"/>
        <v>0</v>
      </c>
      <c r="P55" s="431">
        <f t="shared" si="21"/>
        <v>0</v>
      </c>
      <c r="Q55" s="431">
        <f t="shared" si="21"/>
        <v>0</v>
      </c>
      <c r="R55" s="431">
        <f t="shared" si="21"/>
        <v>0</v>
      </c>
      <c r="S55" s="431">
        <f t="shared" si="21"/>
        <v>0</v>
      </c>
      <c r="T55" s="431">
        <f t="shared" si="21"/>
        <v>0</v>
      </c>
      <c r="U55" s="431">
        <f t="shared" si="21"/>
        <v>0</v>
      </c>
      <c r="V55" s="431">
        <f t="shared" si="21"/>
        <v>0</v>
      </c>
      <c r="W55" s="431">
        <f t="shared" si="21"/>
        <v>0</v>
      </c>
      <c r="X55" s="431">
        <f t="shared" si="21"/>
        <v>0</v>
      </c>
      <c r="Y55" s="431">
        <f t="shared" si="21"/>
        <v>0</v>
      </c>
      <c r="Z55" s="431">
        <f t="shared" si="21"/>
        <v>0</v>
      </c>
      <c r="AA55" s="431">
        <f t="shared" si="21"/>
        <v>0</v>
      </c>
      <c r="AB55" s="431">
        <f t="shared" si="21"/>
        <v>0</v>
      </c>
      <c r="AC55" s="431">
        <f t="shared" si="21"/>
        <v>0</v>
      </c>
      <c r="AD55" s="431">
        <f t="shared" si="21"/>
        <v>0</v>
      </c>
      <c r="AE55" s="431">
        <f t="shared" si="21"/>
        <v>0</v>
      </c>
      <c r="AF55" s="431">
        <f t="shared" si="21"/>
        <v>0</v>
      </c>
      <c r="AG55" s="431">
        <f t="shared" si="21"/>
        <v>0</v>
      </c>
      <c r="AH55" s="431">
        <f t="shared" si="21"/>
        <v>0</v>
      </c>
      <c r="AI55" s="431">
        <f t="shared" si="21"/>
        <v>0</v>
      </c>
      <c r="AJ55" s="431">
        <f t="shared" si="21"/>
        <v>0</v>
      </c>
      <c r="AK55" s="431">
        <f t="shared" si="21"/>
        <v>0</v>
      </c>
      <c r="AL55" s="431">
        <f t="shared" si="21"/>
        <v>0</v>
      </c>
      <c r="AM55" s="431">
        <f t="shared" si="21"/>
        <v>0</v>
      </c>
      <c r="AN55" s="431">
        <f t="shared" si="21"/>
        <v>0</v>
      </c>
      <c r="AO55" s="431">
        <f t="shared" si="21"/>
        <v>0</v>
      </c>
      <c r="AP55" s="431">
        <f t="shared" si="21"/>
        <v>0</v>
      </c>
      <c r="AQ55" s="431">
        <f t="shared" si="21"/>
        <v>0</v>
      </c>
      <c r="AR55" s="431">
        <f t="shared" si="21"/>
        <v>0</v>
      </c>
      <c r="AS55" s="431">
        <f t="shared" si="21"/>
        <v>0</v>
      </c>
      <c r="AT55" s="431">
        <f t="shared" si="21"/>
        <v>0</v>
      </c>
      <c r="AU55" s="431"/>
      <c r="AV55" s="431"/>
      <c r="AW55" s="431"/>
      <c r="AX55" s="431"/>
      <c r="AY55" s="431"/>
      <c r="AZ55" s="431"/>
      <c r="BA55" s="431"/>
      <c r="BB55" s="432"/>
      <c r="BC55" s="432"/>
      <c r="BD55" s="432"/>
      <c r="BE55" s="432"/>
      <c r="BF55" s="432"/>
      <c r="BG55" s="432"/>
      <c r="BH55" s="432"/>
      <c r="BI55" s="432"/>
      <c r="BJ55" s="432"/>
      <c r="BK55" s="432"/>
      <c r="BL55" s="432"/>
      <c r="BM55" s="432"/>
      <c r="BN55" s="432"/>
      <c r="BO55" s="432"/>
      <c r="BP55" s="432"/>
      <c r="BQ55" s="432"/>
      <c r="BR55" s="432"/>
      <c r="BS55" s="432"/>
      <c r="BT55" s="432"/>
      <c r="BU55" s="432"/>
      <c r="BV55" s="432"/>
      <c r="BW55" s="432"/>
      <c r="BX55" s="432"/>
      <c r="BY55" s="432"/>
      <c r="BZ55" s="432"/>
      <c r="CA55" s="432"/>
      <c r="CB55" s="432"/>
      <c r="CC55" s="432"/>
      <c r="CD55" s="432"/>
      <c r="CE55" s="432"/>
      <c r="CF55" s="432"/>
      <c r="CG55" s="432"/>
      <c r="CH55" s="432"/>
      <c r="CI55" s="432"/>
      <c r="CJ55" s="432"/>
      <c r="CK55" s="432"/>
      <c r="CL55" s="432"/>
      <c r="CM55" s="432"/>
      <c r="CN55" s="432"/>
      <c r="CO55" s="432"/>
      <c r="CP55" s="432"/>
      <c r="CQ55" s="432"/>
      <c r="CR55" s="432"/>
      <c r="CS55" s="432"/>
      <c r="CT55" s="432"/>
      <c r="CU55" s="432"/>
      <c r="CV55" s="432"/>
      <c r="CW55" s="432"/>
      <c r="CX55" s="432"/>
      <c r="CY55" s="432"/>
      <c r="CZ55" s="432"/>
      <c r="DA55" s="432"/>
      <c r="DB55" s="432"/>
      <c r="DC55" s="432"/>
      <c r="DD55" s="432"/>
      <c r="DE55" s="432"/>
      <c r="DF55" s="432"/>
      <c r="DG55" s="432"/>
      <c r="DH55" s="432"/>
      <c r="DI55" s="432"/>
      <c r="DJ55" s="432"/>
      <c r="DK55" s="432"/>
      <c r="DL55" s="432"/>
      <c r="DM55" s="432"/>
      <c r="DN55" s="432"/>
      <c r="DO55" s="432"/>
      <c r="DP55" s="432"/>
      <c r="DQ55" s="432"/>
      <c r="DR55" s="432"/>
      <c r="DS55" s="432"/>
      <c r="DT55" s="432"/>
      <c r="DU55" s="432"/>
      <c r="DV55" s="432"/>
      <c r="DW55" s="432"/>
      <c r="DX55" s="432"/>
      <c r="DY55" s="432"/>
      <c r="DZ55" s="432"/>
      <c r="EA55" s="432"/>
      <c r="EB55" s="432"/>
      <c r="EC55" s="432"/>
      <c r="ED55" s="432"/>
      <c r="EE55" s="432"/>
      <c r="EF55" s="432"/>
      <c r="EG55" s="432"/>
      <c r="EH55" s="432"/>
      <c r="EI55" s="432"/>
      <c r="EJ55" s="432"/>
      <c r="EK55" s="432"/>
      <c r="EL55" s="432"/>
      <c r="EM55" s="432"/>
      <c r="EN55" s="432"/>
      <c r="EO55" s="432"/>
      <c r="EP55" s="432"/>
      <c r="EQ55" s="432"/>
      <c r="ER55" s="432"/>
      <c r="ES55" s="432"/>
      <c r="ET55" s="432"/>
      <c r="EU55" s="432"/>
      <c r="EV55" s="432"/>
      <c r="EW55" s="432"/>
      <c r="EX55" s="432"/>
      <c r="EY55" s="432"/>
      <c r="EZ55" s="432"/>
      <c r="FA55" s="432"/>
      <c r="FB55" s="432"/>
      <c r="FC55" s="432"/>
      <c r="FD55" s="432"/>
      <c r="FE55" s="432"/>
      <c r="FF55" s="432"/>
      <c r="FG55" s="432"/>
      <c r="FH55" s="432"/>
      <c r="FI55" s="432"/>
    </row>
    <row r="56" spans="1:165" s="432" customFormat="1" hidden="1">
      <c r="A56" s="444" t="str">
        <f>Op_Costs!C48</f>
        <v>Other Repairs</v>
      </c>
      <c r="B56" s="431" t="str">
        <f>IF(Deal_Overview!$V$17&gt;0,G56/Deal_Overview!$V$17,"")</f>
        <v/>
      </c>
      <c r="C56" s="445">
        <f>Op_Costs!J48</f>
        <v>0.03</v>
      </c>
      <c r="D56" s="698">
        <f>Op_Costs!D48</f>
        <v>0</v>
      </c>
      <c r="E56" s="698">
        <f>Op_Costs!E48</f>
        <v>0</v>
      </c>
      <c r="F56" s="698">
        <f>Op_Costs!F48</f>
        <v>0</v>
      </c>
      <c r="G56" s="297">
        <f>Op_Costs!G48</f>
        <v>0</v>
      </c>
      <c r="H56" s="431">
        <f t="shared" si="21"/>
        <v>0</v>
      </c>
      <c r="I56" s="431">
        <f t="shared" si="21"/>
        <v>0</v>
      </c>
      <c r="J56" s="431">
        <f t="shared" si="21"/>
        <v>0</v>
      </c>
      <c r="K56" s="431">
        <f t="shared" si="21"/>
        <v>0</v>
      </c>
      <c r="L56" s="431">
        <f t="shared" si="21"/>
        <v>0</v>
      </c>
      <c r="M56" s="431">
        <f t="shared" si="21"/>
        <v>0</v>
      </c>
      <c r="N56" s="431">
        <f t="shared" si="21"/>
        <v>0</v>
      </c>
      <c r="O56" s="431">
        <f t="shared" si="21"/>
        <v>0</v>
      </c>
      <c r="P56" s="431">
        <f t="shared" si="21"/>
        <v>0</v>
      </c>
      <c r="Q56" s="431">
        <f t="shared" si="21"/>
        <v>0</v>
      </c>
      <c r="R56" s="431">
        <f t="shared" si="21"/>
        <v>0</v>
      </c>
      <c r="S56" s="431">
        <f t="shared" si="21"/>
        <v>0</v>
      </c>
      <c r="T56" s="431">
        <f t="shared" si="21"/>
        <v>0</v>
      </c>
      <c r="U56" s="431">
        <f t="shared" si="21"/>
        <v>0</v>
      </c>
      <c r="V56" s="431">
        <f t="shared" si="21"/>
        <v>0</v>
      </c>
      <c r="W56" s="431">
        <f t="shared" si="21"/>
        <v>0</v>
      </c>
      <c r="X56" s="431">
        <f t="shared" si="21"/>
        <v>0</v>
      </c>
      <c r="Y56" s="431">
        <f t="shared" si="21"/>
        <v>0</v>
      </c>
      <c r="Z56" s="431">
        <f t="shared" si="21"/>
        <v>0</v>
      </c>
      <c r="AA56" s="431">
        <f t="shared" si="21"/>
        <v>0</v>
      </c>
      <c r="AB56" s="431">
        <f t="shared" si="21"/>
        <v>0</v>
      </c>
      <c r="AC56" s="431">
        <f t="shared" ref="AC56:AT56" si="22">AB56*(1+$C56)</f>
        <v>0</v>
      </c>
      <c r="AD56" s="431">
        <f t="shared" si="22"/>
        <v>0</v>
      </c>
      <c r="AE56" s="431">
        <f t="shared" si="22"/>
        <v>0</v>
      </c>
      <c r="AF56" s="431">
        <f t="shared" si="22"/>
        <v>0</v>
      </c>
      <c r="AG56" s="431">
        <f t="shared" si="22"/>
        <v>0</v>
      </c>
      <c r="AH56" s="431">
        <f t="shared" si="22"/>
        <v>0</v>
      </c>
      <c r="AI56" s="431">
        <f t="shared" si="22"/>
        <v>0</v>
      </c>
      <c r="AJ56" s="431">
        <f t="shared" si="22"/>
        <v>0</v>
      </c>
      <c r="AK56" s="431">
        <f t="shared" si="22"/>
        <v>0</v>
      </c>
      <c r="AL56" s="431">
        <f t="shared" si="22"/>
        <v>0</v>
      </c>
      <c r="AM56" s="431">
        <f t="shared" si="22"/>
        <v>0</v>
      </c>
      <c r="AN56" s="431">
        <f t="shared" si="22"/>
        <v>0</v>
      </c>
      <c r="AO56" s="431">
        <f t="shared" si="22"/>
        <v>0</v>
      </c>
      <c r="AP56" s="431">
        <f t="shared" si="22"/>
        <v>0</v>
      </c>
      <c r="AQ56" s="431">
        <f t="shared" si="22"/>
        <v>0</v>
      </c>
      <c r="AR56" s="431">
        <f t="shared" si="22"/>
        <v>0</v>
      </c>
      <c r="AS56" s="431">
        <f t="shared" si="22"/>
        <v>0</v>
      </c>
      <c r="AT56" s="431">
        <f t="shared" si="22"/>
        <v>0</v>
      </c>
      <c r="AU56" s="431"/>
      <c r="AV56" s="431"/>
      <c r="AW56" s="431"/>
      <c r="AX56" s="431"/>
      <c r="AY56" s="431"/>
      <c r="AZ56" s="431"/>
      <c r="BA56" s="431"/>
    </row>
    <row r="57" spans="1:165" s="450" customFormat="1">
      <c r="A57" s="447" t="str">
        <f>Op_Costs!B49</f>
        <v>Repairs Subtotal</v>
      </c>
      <c r="B57" s="448" t="str">
        <f>IF(Deal_Overview!$V$17&gt;0,G57/Deal_Overview!$V$17,"")</f>
        <v/>
      </c>
      <c r="C57" s="449"/>
      <c r="D57" s="699">
        <f>SUM(D50:D56)</f>
        <v>0</v>
      </c>
      <c r="E57" s="699">
        <f>SUM(E50:E56)</f>
        <v>0</v>
      </c>
      <c r="F57" s="699">
        <f>SUM(F50:F56)</f>
        <v>0</v>
      </c>
      <c r="G57" s="448">
        <f>SUM(G50:G56)</f>
        <v>0</v>
      </c>
      <c r="H57" s="448">
        <f>SUM(H50:H56)</f>
        <v>0</v>
      </c>
      <c r="I57" s="448">
        <f t="shared" ref="I57:AT57" si="23">SUM(I50:I56)</f>
        <v>0</v>
      </c>
      <c r="J57" s="448">
        <f t="shared" si="23"/>
        <v>0</v>
      </c>
      <c r="K57" s="448">
        <f t="shared" si="23"/>
        <v>0</v>
      </c>
      <c r="L57" s="448">
        <f t="shared" si="23"/>
        <v>0</v>
      </c>
      <c r="M57" s="448">
        <f t="shared" si="23"/>
        <v>0</v>
      </c>
      <c r="N57" s="448">
        <f t="shared" si="23"/>
        <v>0</v>
      </c>
      <c r="O57" s="448">
        <f t="shared" si="23"/>
        <v>0</v>
      </c>
      <c r="P57" s="448">
        <f t="shared" si="23"/>
        <v>0</v>
      </c>
      <c r="Q57" s="448">
        <f t="shared" si="23"/>
        <v>0</v>
      </c>
      <c r="R57" s="448">
        <f t="shared" si="23"/>
        <v>0</v>
      </c>
      <c r="S57" s="448">
        <f t="shared" si="23"/>
        <v>0</v>
      </c>
      <c r="T57" s="448">
        <f t="shared" si="23"/>
        <v>0</v>
      </c>
      <c r="U57" s="448">
        <f t="shared" si="23"/>
        <v>0</v>
      </c>
      <c r="V57" s="448">
        <f t="shared" si="23"/>
        <v>0</v>
      </c>
      <c r="W57" s="448">
        <f t="shared" si="23"/>
        <v>0</v>
      </c>
      <c r="X57" s="448">
        <f t="shared" si="23"/>
        <v>0</v>
      </c>
      <c r="Y57" s="448">
        <f t="shared" si="23"/>
        <v>0</v>
      </c>
      <c r="Z57" s="448">
        <f t="shared" si="23"/>
        <v>0</v>
      </c>
      <c r="AA57" s="448">
        <f t="shared" si="23"/>
        <v>0</v>
      </c>
      <c r="AB57" s="448">
        <f t="shared" si="23"/>
        <v>0</v>
      </c>
      <c r="AC57" s="448">
        <f t="shared" si="23"/>
        <v>0</v>
      </c>
      <c r="AD57" s="448">
        <f t="shared" si="23"/>
        <v>0</v>
      </c>
      <c r="AE57" s="448">
        <f t="shared" si="23"/>
        <v>0</v>
      </c>
      <c r="AF57" s="448">
        <f t="shared" si="23"/>
        <v>0</v>
      </c>
      <c r="AG57" s="448">
        <f t="shared" si="23"/>
        <v>0</v>
      </c>
      <c r="AH57" s="448">
        <f t="shared" si="23"/>
        <v>0</v>
      </c>
      <c r="AI57" s="448">
        <f t="shared" si="23"/>
        <v>0</v>
      </c>
      <c r="AJ57" s="448">
        <f t="shared" si="23"/>
        <v>0</v>
      </c>
      <c r="AK57" s="448">
        <f t="shared" si="23"/>
        <v>0</v>
      </c>
      <c r="AL57" s="448">
        <f t="shared" si="23"/>
        <v>0</v>
      </c>
      <c r="AM57" s="448">
        <f t="shared" si="23"/>
        <v>0</v>
      </c>
      <c r="AN57" s="448">
        <f t="shared" si="23"/>
        <v>0</v>
      </c>
      <c r="AO57" s="448">
        <f t="shared" si="23"/>
        <v>0</v>
      </c>
      <c r="AP57" s="448">
        <f t="shared" si="23"/>
        <v>0</v>
      </c>
      <c r="AQ57" s="448">
        <f t="shared" si="23"/>
        <v>0</v>
      </c>
      <c r="AR57" s="448">
        <f t="shared" si="23"/>
        <v>0</v>
      </c>
      <c r="AS57" s="448">
        <f t="shared" si="23"/>
        <v>0</v>
      </c>
      <c r="AT57" s="448">
        <f t="shared" si="23"/>
        <v>0</v>
      </c>
      <c r="AU57" s="448"/>
      <c r="AV57" s="448"/>
      <c r="AW57" s="448"/>
      <c r="AX57" s="448"/>
      <c r="AY57" s="448"/>
      <c r="AZ57" s="448"/>
      <c r="BA57" s="448"/>
    </row>
    <row r="58" spans="1:165" s="298" customFormat="1" hidden="1">
      <c r="A58" s="429" t="str">
        <f>Op_Costs!C50</f>
        <v>Gas</v>
      </c>
      <c r="B58" s="297" t="str">
        <f>IF(Deal_Overview!$V$17&gt;0,G58/Deal_Overview!$V$17,"")</f>
        <v/>
      </c>
      <c r="C58" s="430">
        <f>Op_Costs!J50</f>
        <v>0.03</v>
      </c>
      <c r="D58" s="698">
        <f>Op_Costs!D50</f>
        <v>0</v>
      </c>
      <c r="E58" s="698">
        <f>Op_Costs!E50</f>
        <v>0</v>
      </c>
      <c r="F58" s="698">
        <f>Op_Costs!F50</f>
        <v>0</v>
      </c>
      <c r="G58" s="297">
        <f>Op_Costs!G50</f>
        <v>0</v>
      </c>
      <c r="H58" s="431">
        <f>G58*(1+$C58)</f>
        <v>0</v>
      </c>
      <c r="I58" s="431">
        <f t="shared" ref="I58:AT61" si="24">H58*(1+$C58)</f>
        <v>0</v>
      </c>
      <c r="J58" s="431">
        <f t="shared" si="24"/>
        <v>0</v>
      </c>
      <c r="K58" s="431">
        <f t="shared" si="24"/>
        <v>0</v>
      </c>
      <c r="L58" s="431">
        <f t="shared" si="24"/>
        <v>0</v>
      </c>
      <c r="M58" s="431">
        <f t="shared" si="24"/>
        <v>0</v>
      </c>
      <c r="N58" s="431">
        <f t="shared" si="24"/>
        <v>0</v>
      </c>
      <c r="O58" s="431">
        <f t="shared" si="24"/>
        <v>0</v>
      </c>
      <c r="P58" s="431">
        <f t="shared" si="24"/>
        <v>0</v>
      </c>
      <c r="Q58" s="431">
        <f t="shared" si="24"/>
        <v>0</v>
      </c>
      <c r="R58" s="431">
        <f t="shared" si="24"/>
        <v>0</v>
      </c>
      <c r="S58" s="431">
        <f t="shared" si="24"/>
        <v>0</v>
      </c>
      <c r="T58" s="431">
        <f t="shared" si="24"/>
        <v>0</v>
      </c>
      <c r="U58" s="431">
        <f t="shared" si="24"/>
        <v>0</v>
      </c>
      <c r="V58" s="431">
        <f t="shared" si="24"/>
        <v>0</v>
      </c>
      <c r="W58" s="431">
        <f t="shared" si="24"/>
        <v>0</v>
      </c>
      <c r="X58" s="431">
        <f t="shared" si="24"/>
        <v>0</v>
      </c>
      <c r="Y58" s="431">
        <f t="shared" si="24"/>
        <v>0</v>
      </c>
      <c r="Z58" s="431">
        <f t="shared" si="24"/>
        <v>0</v>
      </c>
      <c r="AA58" s="431">
        <f t="shared" si="24"/>
        <v>0</v>
      </c>
      <c r="AB58" s="431">
        <f t="shared" si="24"/>
        <v>0</v>
      </c>
      <c r="AC58" s="431">
        <f t="shared" si="24"/>
        <v>0</v>
      </c>
      <c r="AD58" s="431">
        <f t="shared" si="24"/>
        <v>0</v>
      </c>
      <c r="AE58" s="431">
        <f t="shared" si="24"/>
        <v>0</v>
      </c>
      <c r="AF58" s="431">
        <f t="shared" si="24"/>
        <v>0</v>
      </c>
      <c r="AG58" s="431">
        <f t="shared" si="24"/>
        <v>0</v>
      </c>
      <c r="AH58" s="431">
        <f t="shared" si="24"/>
        <v>0</v>
      </c>
      <c r="AI58" s="431">
        <f t="shared" si="24"/>
        <v>0</v>
      </c>
      <c r="AJ58" s="431">
        <f t="shared" si="24"/>
        <v>0</v>
      </c>
      <c r="AK58" s="431">
        <f t="shared" si="24"/>
        <v>0</v>
      </c>
      <c r="AL58" s="431">
        <f t="shared" si="24"/>
        <v>0</v>
      </c>
      <c r="AM58" s="431">
        <f t="shared" si="24"/>
        <v>0</v>
      </c>
      <c r="AN58" s="431">
        <f t="shared" si="24"/>
        <v>0</v>
      </c>
      <c r="AO58" s="431">
        <f t="shared" si="24"/>
        <v>0</v>
      </c>
      <c r="AP58" s="431">
        <f t="shared" si="24"/>
        <v>0</v>
      </c>
      <c r="AQ58" s="431">
        <f t="shared" si="24"/>
        <v>0</v>
      </c>
      <c r="AR58" s="431">
        <f t="shared" si="24"/>
        <v>0</v>
      </c>
      <c r="AS58" s="431">
        <f t="shared" si="24"/>
        <v>0</v>
      </c>
      <c r="AT58" s="431">
        <f t="shared" si="24"/>
        <v>0</v>
      </c>
      <c r="AU58" s="431"/>
      <c r="AV58" s="431"/>
      <c r="AW58" s="431"/>
      <c r="AX58" s="431"/>
      <c r="AY58" s="431"/>
      <c r="AZ58" s="431"/>
      <c r="BA58" s="431"/>
      <c r="BB58" s="432"/>
      <c r="BC58" s="432"/>
      <c r="BD58" s="432"/>
      <c r="BE58" s="432"/>
      <c r="BF58" s="432"/>
      <c r="BG58" s="432"/>
      <c r="BH58" s="432"/>
      <c r="BI58" s="432"/>
      <c r="BJ58" s="432"/>
      <c r="BK58" s="432"/>
      <c r="BL58" s="432"/>
      <c r="BM58" s="432"/>
      <c r="BN58" s="432"/>
      <c r="BO58" s="432"/>
      <c r="BP58" s="432"/>
      <c r="BQ58" s="432"/>
      <c r="BR58" s="432"/>
      <c r="BS58" s="432"/>
      <c r="BT58" s="432"/>
      <c r="BU58" s="432"/>
      <c r="BV58" s="432"/>
      <c r="BW58" s="432"/>
      <c r="BX58" s="432"/>
      <c r="BY58" s="432"/>
      <c r="BZ58" s="432"/>
      <c r="CA58" s="432"/>
      <c r="CB58" s="432"/>
      <c r="CC58" s="432"/>
      <c r="CD58" s="432"/>
      <c r="CE58" s="432"/>
      <c r="CF58" s="432"/>
      <c r="CG58" s="432"/>
      <c r="CH58" s="432"/>
      <c r="CI58" s="432"/>
      <c r="CJ58" s="432"/>
      <c r="CK58" s="432"/>
      <c r="CL58" s="432"/>
      <c r="CM58" s="432"/>
      <c r="CN58" s="432"/>
      <c r="CO58" s="432"/>
      <c r="CP58" s="432"/>
      <c r="CQ58" s="432"/>
      <c r="CR58" s="432"/>
      <c r="CS58" s="432"/>
      <c r="CT58" s="432"/>
      <c r="CU58" s="432"/>
      <c r="CV58" s="432"/>
      <c r="CW58" s="432"/>
      <c r="CX58" s="432"/>
      <c r="CY58" s="432"/>
      <c r="CZ58" s="432"/>
      <c r="DA58" s="432"/>
      <c r="DB58" s="432"/>
      <c r="DC58" s="432"/>
      <c r="DD58" s="432"/>
      <c r="DE58" s="432"/>
      <c r="DF58" s="432"/>
      <c r="DG58" s="432"/>
      <c r="DH58" s="432"/>
      <c r="DI58" s="432"/>
      <c r="DJ58" s="432"/>
      <c r="DK58" s="432"/>
      <c r="DL58" s="432"/>
      <c r="DM58" s="432"/>
      <c r="DN58" s="432"/>
      <c r="DO58" s="432"/>
      <c r="DP58" s="432"/>
      <c r="DQ58" s="432"/>
      <c r="DR58" s="432"/>
      <c r="DS58" s="432"/>
      <c r="DT58" s="432"/>
      <c r="DU58" s="432"/>
      <c r="DV58" s="432"/>
      <c r="DW58" s="432"/>
      <c r="DX58" s="432"/>
      <c r="DY58" s="432"/>
      <c r="DZ58" s="432"/>
      <c r="EA58" s="432"/>
      <c r="EB58" s="432"/>
      <c r="EC58" s="432"/>
      <c r="ED58" s="432"/>
      <c r="EE58" s="432"/>
      <c r="EF58" s="432"/>
      <c r="EG58" s="432"/>
      <c r="EH58" s="432"/>
      <c r="EI58" s="432"/>
      <c r="EJ58" s="432"/>
      <c r="EK58" s="432"/>
      <c r="EL58" s="432"/>
      <c r="EM58" s="432"/>
      <c r="EN58" s="432"/>
      <c r="EO58" s="432"/>
      <c r="EP58" s="432"/>
      <c r="EQ58" s="432"/>
      <c r="ER58" s="432"/>
      <c r="ES58" s="432"/>
      <c r="ET58" s="432"/>
      <c r="EU58" s="432"/>
      <c r="EV58" s="432"/>
      <c r="EW58" s="432"/>
      <c r="EX58" s="432"/>
      <c r="EY58" s="432"/>
      <c r="EZ58" s="432"/>
      <c r="FA58" s="432"/>
      <c r="FB58" s="432"/>
      <c r="FC58" s="432"/>
      <c r="FD58" s="432"/>
      <c r="FE58" s="432"/>
      <c r="FF58" s="432"/>
      <c r="FG58" s="432"/>
      <c r="FH58" s="432"/>
      <c r="FI58" s="432"/>
    </row>
    <row r="59" spans="1:165" s="298" customFormat="1" hidden="1">
      <c r="A59" s="429" t="str">
        <f>Op_Costs!C51</f>
        <v>Electricity</v>
      </c>
      <c r="B59" s="297" t="str">
        <f>IF(Deal_Overview!$V$17&gt;0,G59/Deal_Overview!$V$17,"")</f>
        <v/>
      </c>
      <c r="C59" s="430">
        <f>Op_Costs!J51</f>
        <v>0.03</v>
      </c>
      <c r="D59" s="698">
        <f>Op_Costs!D51</f>
        <v>0</v>
      </c>
      <c r="E59" s="698">
        <f>Op_Costs!E51</f>
        <v>0</v>
      </c>
      <c r="F59" s="698">
        <f>Op_Costs!F51</f>
        <v>0</v>
      </c>
      <c r="G59" s="297">
        <f>Op_Costs!G51</f>
        <v>0</v>
      </c>
      <c r="H59" s="431">
        <f>G59*(1+$C59)</f>
        <v>0</v>
      </c>
      <c r="I59" s="431">
        <f t="shared" si="24"/>
        <v>0</v>
      </c>
      <c r="J59" s="431">
        <f t="shared" si="24"/>
        <v>0</v>
      </c>
      <c r="K59" s="431">
        <f t="shared" si="24"/>
        <v>0</v>
      </c>
      <c r="L59" s="431">
        <f t="shared" si="24"/>
        <v>0</v>
      </c>
      <c r="M59" s="431">
        <f t="shared" si="24"/>
        <v>0</v>
      </c>
      <c r="N59" s="431">
        <f t="shared" si="24"/>
        <v>0</v>
      </c>
      <c r="O59" s="431">
        <f t="shared" si="24"/>
        <v>0</v>
      </c>
      <c r="P59" s="431">
        <f t="shared" si="24"/>
        <v>0</v>
      </c>
      <c r="Q59" s="431">
        <f t="shared" si="24"/>
        <v>0</v>
      </c>
      <c r="R59" s="431">
        <f t="shared" si="24"/>
        <v>0</v>
      </c>
      <c r="S59" s="431">
        <f t="shared" si="24"/>
        <v>0</v>
      </c>
      <c r="T59" s="431">
        <f t="shared" si="24"/>
        <v>0</v>
      </c>
      <c r="U59" s="431">
        <f t="shared" si="24"/>
        <v>0</v>
      </c>
      <c r="V59" s="431">
        <f t="shared" si="24"/>
        <v>0</v>
      </c>
      <c r="W59" s="431">
        <f t="shared" si="24"/>
        <v>0</v>
      </c>
      <c r="X59" s="431">
        <f t="shared" si="24"/>
        <v>0</v>
      </c>
      <c r="Y59" s="431">
        <f t="shared" si="24"/>
        <v>0</v>
      </c>
      <c r="Z59" s="431">
        <f t="shared" si="24"/>
        <v>0</v>
      </c>
      <c r="AA59" s="431">
        <f t="shared" si="24"/>
        <v>0</v>
      </c>
      <c r="AB59" s="431">
        <f t="shared" si="24"/>
        <v>0</v>
      </c>
      <c r="AC59" s="431">
        <f t="shared" si="24"/>
        <v>0</v>
      </c>
      <c r="AD59" s="431">
        <f t="shared" si="24"/>
        <v>0</v>
      </c>
      <c r="AE59" s="431">
        <f t="shared" si="24"/>
        <v>0</v>
      </c>
      <c r="AF59" s="431">
        <f t="shared" si="24"/>
        <v>0</v>
      </c>
      <c r="AG59" s="431">
        <f t="shared" si="24"/>
        <v>0</v>
      </c>
      <c r="AH59" s="431">
        <f t="shared" si="24"/>
        <v>0</v>
      </c>
      <c r="AI59" s="431">
        <f t="shared" si="24"/>
        <v>0</v>
      </c>
      <c r="AJ59" s="431">
        <f t="shared" si="24"/>
        <v>0</v>
      </c>
      <c r="AK59" s="431">
        <f t="shared" si="24"/>
        <v>0</v>
      </c>
      <c r="AL59" s="431">
        <f t="shared" si="24"/>
        <v>0</v>
      </c>
      <c r="AM59" s="431">
        <f t="shared" si="24"/>
        <v>0</v>
      </c>
      <c r="AN59" s="431">
        <f t="shared" si="24"/>
        <v>0</v>
      </c>
      <c r="AO59" s="431">
        <f t="shared" si="24"/>
        <v>0</v>
      </c>
      <c r="AP59" s="431">
        <f t="shared" si="24"/>
        <v>0</v>
      </c>
      <c r="AQ59" s="431">
        <f t="shared" si="24"/>
        <v>0</v>
      </c>
      <c r="AR59" s="431">
        <f t="shared" si="24"/>
        <v>0</v>
      </c>
      <c r="AS59" s="431">
        <f t="shared" si="24"/>
        <v>0</v>
      </c>
      <c r="AT59" s="431">
        <f t="shared" si="24"/>
        <v>0</v>
      </c>
      <c r="AU59" s="431"/>
      <c r="AV59" s="431"/>
      <c r="AW59" s="431"/>
      <c r="AX59" s="431"/>
      <c r="AY59" s="431"/>
      <c r="AZ59" s="431"/>
      <c r="BA59" s="431"/>
      <c r="BB59" s="432"/>
      <c r="BC59" s="432"/>
      <c r="BD59" s="432"/>
      <c r="BE59" s="432"/>
      <c r="BF59" s="432"/>
      <c r="BG59" s="432"/>
      <c r="BH59" s="432"/>
      <c r="BI59" s="432"/>
      <c r="BJ59" s="432"/>
      <c r="BK59" s="432"/>
      <c r="BL59" s="432"/>
      <c r="BM59" s="432"/>
      <c r="BN59" s="432"/>
      <c r="BO59" s="432"/>
      <c r="BP59" s="432"/>
      <c r="BQ59" s="432"/>
      <c r="BR59" s="432"/>
      <c r="BS59" s="432"/>
      <c r="BT59" s="432"/>
      <c r="BU59" s="432"/>
      <c r="BV59" s="432"/>
      <c r="BW59" s="432"/>
      <c r="BX59" s="432"/>
      <c r="BY59" s="432"/>
      <c r="BZ59" s="432"/>
      <c r="CA59" s="432"/>
      <c r="CB59" s="432"/>
      <c r="CC59" s="432"/>
      <c r="CD59" s="432"/>
      <c r="CE59" s="432"/>
      <c r="CF59" s="432"/>
      <c r="CG59" s="432"/>
      <c r="CH59" s="432"/>
      <c r="CI59" s="432"/>
      <c r="CJ59" s="432"/>
      <c r="CK59" s="432"/>
      <c r="CL59" s="432"/>
      <c r="CM59" s="432"/>
      <c r="CN59" s="432"/>
      <c r="CO59" s="432"/>
      <c r="CP59" s="432"/>
      <c r="CQ59" s="432"/>
      <c r="CR59" s="432"/>
      <c r="CS59" s="432"/>
      <c r="CT59" s="432"/>
      <c r="CU59" s="432"/>
      <c r="CV59" s="432"/>
      <c r="CW59" s="432"/>
      <c r="CX59" s="432"/>
      <c r="CY59" s="432"/>
      <c r="CZ59" s="432"/>
      <c r="DA59" s="432"/>
      <c r="DB59" s="432"/>
      <c r="DC59" s="432"/>
      <c r="DD59" s="432"/>
      <c r="DE59" s="432"/>
      <c r="DF59" s="432"/>
      <c r="DG59" s="432"/>
      <c r="DH59" s="432"/>
      <c r="DI59" s="432"/>
      <c r="DJ59" s="432"/>
      <c r="DK59" s="432"/>
      <c r="DL59" s="432"/>
      <c r="DM59" s="432"/>
      <c r="DN59" s="432"/>
      <c r="DO59" s="432"/>
      <c r="DP59" s="432"/>
      <c r="DQ59" s="432"/>
      <c r="DR59" s="432"/>
      <c r="DS59" s="432"/>
      <c r="DT59" s="432"/>
      <c r="DU59" s="432"/>
      <c r="DV59" s="432"/>
      <c r="DW59" s="432"/>
      <c r="DX59" s="432"/>
      <c r="DY59" s="432"/>
      <c r="DZ59" s="432"/>
      <c r="EA59" s="432"/>
      <c r="EB59" s="432"/>
      <c r="EC59" s="432"/>
      <c r="ED59" s="432"/>
      <c r="EE59" s="432"/>
      <c r="EF59" s="432"/>
      <c r="EG59" s="432"/>
      <c r="EH59" s="432"/>
      <c r="EI59" s="432"/>
      <c r="EJ59" s="432"/>
      <c r="EK59" s="432"/>
      <c r="EL59" s="432"/>
      <c r="EM59" s="432"/>
      <c r="EN59" s="432"/>
      <c r="EO59" s="432"/>
      <c r="EP59" s="432"/>
      <c r="EQ59" s="432"/>
      <c r="ER59" s="432"/>
      <c r="ES59" s="432"/>
      <c r="ET59" s="432"/>
      <c r="EU59" s="432"/>
      <c r="EV59" s="432"/>
      <c r="EW59" s="432"/>
      <c r="EX59" s="432"/>
      <c r="EY59" s="432"/>
      <c r="EZ59" s="432"/>
      <c r="FA59" s="432"/>
      <c r="FB59" s="432"/>
      <c r="FC59" s="432"/>
      <c r="FD59" s="432"/>
      <c r="FE59" s="432"/>
      <c r="FF59" s="432"/>
      <c r="FG59" s="432"/>
      <c r="FH59" s="432"/>
      <c r="FI59" s="432"/>
    </row>
    <row r="60" spans="1:165" s="298" customFormat="1" hidden="1">
      <c r="A60" s="429" t="str">
        <f>Op_Costs!C52</f>
        <v>Water/ Sewer</v>
      </c>
      <c r="B60" s="297" t="str">
        <f>IF(Deal_Overview!$V$17&gt;0,G60/Deal_Overview!$V$17,"")</f>
        <v/>
      </c>
      <c r="C60" s="430">
        <f>Op_Costs!J52</f>
        <v>0.03</v>
      </c>
      <c r="D60" s="698">
        <f>Op_Costs!D52</f>
        <v>0</v>
      </c>
      <c r="E60" s="698">
        <f>Op_Costs!E52</f>
        <v>0</v>
      </c>
      <c r="F60" s="698">
        <f>Op_Costs!F52</f>
        <v>0</v>
      </c>
      <c r="G60" s="297">
        <f>Op_Costs!G52</f>
        <v>0</v>
      </c>
      <c r="H60" s="431">
        <f>G60*(1+$C60)</f>
        <v>0</v>
      </c>
      <c r="I60" s="431">
        <f t="shared" si="24"/>
        <v>0</v>
      </c>
      <c r="J60" s="431">
        <f t="shared" si="24"/>
        <v>0</v>
      </c>
      <c r="K60" s="431">
        <f t="shared" si="24"/>
        <v>0</v>
      </c>
      <c r="L60" s="431">
        <f t="shared" si="24"/>
        <v>0</v>
      </c>
      <c r="M60" s="431">
        <f t="shared" si="24"/>
        <v>0</v>
      </c>
      <c r="N60" s="431">
        <f t="shared" si="24"/>
        <v>0</v>
      </c>
      <c r="O60" s="431">
        <f t="shared" si="24"/>
        <v>0</v>
      </c>
      <c r="P60" s="431">
        <f t="shared" si="24"/>
        <v>0</v>
      </c>
      <c r="Q60" s="431">
        <f t="shared" si="24"/>
        <v>0</v>
      </c>
      <c r="R60" s="431">
        <f t="shared" si="24"/>
        <v>0</v>
      </c>
      <c r="S60" s="431">
        <f t="shared" si="24"/>
        <v>0</v>
      </c>
      <c r="T60" s="431">
        <f t="shared" si="24"/>
        <v>0</v>
      </c>
      <c r="U60" s="431">
        <f t="shared" si="24"/>
        <v>0</v>
      </c>
      <c r="V60" s="431">
        <f t="shared" si="24"/>
        <v>0</v>
      </c>
      <c r="W60" s="431">
        <f t="shared" si="24"/>
        <v>0</v>
      </c>
      <c r="X60" s="431">
        <f t="shared" si="24"/>
        <v>0</v>
      </c>
      <c r="Y60" s="431">
        <f t="shared" si="24"/>
        <v>0</v>
      </c>
      <c r="Z60" s="431">
        <f t="shared" si="24"/>
        <v>0</v>
      </c>
      <c r="AA60" s="431">
        <f t="shared" si="24"/>
        <v>0</v>
      </c>
      <c r="AB60" s="431">
        <f t="shared" si="24"/>
        <v>0</v>
      </c>
      <c r="AC60" s="431">
        <f t="shared" si="24"/>
        <v>0</v>
      </c>
      <c r="AD60" s="431">
        <f t="shared" si="24"/>
        <v>0</v>
      </c>
      <c r="AE60" s="431">
        <f t="shared" si="24"/>
        <v>0</v>
      </c>
      <c r="AF60" s="431">
        <f t="shared" si="24"/>
        <v>0</v>
      </c>
      <c r="AG60" s="431">
        <f t="shared" si="24"/>
        <v>0</v>
      </c>
      <c r="AH60" s="431">
        <f t="shared" si="24"/>
        <v>0</v>
      </c>
      <c r="AI60" s="431">
        <f t="shared" si="24"/>
        <v>0</v>
      </c>
      <c r="AJ60" s="431">
        <f t="shared" si="24"/>
        <v>0</v>
      </c>
      <c r="AK60" s="431">
        <f t="shared" si="24"/>
        <v>0</v>
      </c>
      <c r="AL60" s="431">
        <f t="shared" si="24"/>
        <v>0</v>
      </c>
      <c r="AM60" s="431">
        <f t="shared" si="24"/>
        <v>0</v>
      </c>
      <c r="AN60" s="431">
        <f t="shared" si="24"/>
        <v>0</v>
      </c>
      <c r="AO60" s="431">
        <f t="shared" si="24"/>
        <v>0</v>
      </c>
      <c r="AP60" s="431">
        <f t="shared" si="24"/>
        <v>0</v>
      </c>
      <c r="AQ60" s="431">
        <f t="shared" si="24"/>
        <v>0</v>
      </c>
      <c r="AR60" s="431">
        <f t="shared" si="24"/>
        <v>0</v>
      </c>
      <c r="AS60" s="431">
        <f t="shared" si="24"/>
        <v>0</v>
      </c>
      <c r="AT60" s="431">
        <f t="shared" si="24"/>
        <v>0</v>
      </c>
      <c r="AU60" s="431"/>
      <c r="AV60" s="431"/>
      <c r="AW60" s="431"/>
      <c r="AX60" s="431"/>
      <c r="AY60" s="431"/>
      <c r="AZ60" s="431"/>
      <c r="BA60" s="431"/>
      <c r="BB60" s="432"/>
      <c r="BC60" s="432"/>
      <c r="BD60" s="432"/>
      <c r="BE60" s="432"/>
      <c r="BF60" s="432"/>
      <c r="BG60" s="432"/>
      <c r="BH60" s="432"/>
      <c r="BI60" s="432"/>
      <c r="BJ60" s="432"/>
      <c r="BK60" s="432"/>
      <c r="BL60" s="432"/>
      <c r="BM60" s="432"/>
      <c r="BN60" s="432"/>
      <c r="BO60" s="432"/>
      <c r="BP60" s="432"/>
      <c r="BQ60" s="432"/>
      <c r="BR60" s="432"/>
      <c r="BS60" s="432"/>
      <c r="BT60" s="432"/>
      <c r="BU60" s="432"/>
      <c r="BV60" s="432"/>
      <c r="BW60" s="432"/>
      <c r="BX60" s="432"/>
      <c r="BY60" s="432"/>
      <c r="BZ60" s="432"/>
      <c r="CA60" s="432"/>
      <c r="CB60" s="432"/>
      <c r="CC60" s="432"/>
      <c r="CD60" s="432"/>
      <c r="CE60" s="432"/>
      <c r="CF60" s="432"/>
      <c r="CG60" s="432"/>
      <c r="CH60" s="432"/>
      <c r="CI60" s="432"/>
      <c r="CJ60" s="432"/>
      <c r="CK60" s="432"/>
      <c r="CL60" s="432"/>
      <c r="CM60" s="432"/>
      <c r="CN60" s="432"/>
      <c r="CO60" s="432"/>
      <c r="CP60" s="432"/>
      <c r="CQ60" s="432"/>
      <c r="CR60" s="432"/>
      <c r="CS60" s="432"/>
      <c r="CT60" s="432"/>
      <c r="CU60" s="432"/>
      <c r="CV60" s="432"/>
      <c r="CW60" s="432"/>
      <c r="CX60" s="432"/>
      <c r="CY60" s="432"/>
      <c r="CZ60" s="432"/>
      <c r="DA60" s="432"/>
      <c r="DB60" s="432"/>
      <c r="DC60" s="432"/>
      <c r="DD60" s="432"/>
      <c r="DE60" s="432"/>
      <c r="DF60" s="432"/>
      <c r="DG60" s="432"/>
      <c r="DH60" s="432"/>
      <c r="DI60" s="432"/>
      <c r="DJ60" s="432"/>
      <c r="DK60" s="432"/>
      <c r="DL60" s="432"/>
      <c r="DM60" s="432"/>
      <c r="DN60" s="432"/>
      <c r="DO60" s="432"/>
      <c r="DP60" s="432"/>
      <c r="DQ60" s="432"/>
      <c r="DR60" s="432"/>
      <c r="DS60" s="432"/>
      <c r="DT60" s="432"/>
      <c r="DU60" s="432"/>
      <c r="DV60" s="432"/>
      <c r="DW60" s="432"/>
      <c r="DX60" s="432"/>
      <c r="DY60" s="432"/>
      <c r="DZ60" s="432"/>
      <c r="EA60" s="432"/>
      <c r="EB60" s="432"/>
      <c r="EC60" s="432"/>
      <c r="ED60" s="432"/>
      <c r="EE60" s="432"/>
      <c r="EF60" s="432"/>
      <c r="EG60" s="432"/>
      <c r="EH60" s="432"/>
      <c r="EI60" s="432"/>
      <c r="EJ60" s="432"/>
      <c r="EK60" s="432"/>
      <c r="EL60" s="432"/>
      <c r="EM60" s="432"/>
      <c r="EN60" s="432"/>
      <c r="EO60" s="432"/>
      <c r="EP60" s="432"/>
      <c r="EQ60" s="432"/>
      <c r="ER60" s="432"/>
      <c r="ES60" s="432"/>
      <c r="ET60" s="432"/>
      <c r="EU60" s="432"/>
      <c r="EV60" s="432"/>
      <c r="EW60" s="432"/>
      <c r="EX60" s="432"/>
      <c r="EY60" s="432"/>
      <c r="EZ60" s="432"/>
      <c r="FA60" s="432"/>
      <c r="FB60" s="432"/>
      <c r="FC60" s="432"/>
      <c r="FD60" s="432"/>
      <c r="FE60" s="432"/>
      <c r="FF60" s="432"/>
      <c r="FG60" s="432"/>
      <c r="FH60" s="432"/>
      <c r="FI60" s="432"/>
    </row>
    <row r="61" spans="1:165" s="432" customFormat="1" hidden="1">
      <c r="A61" s="444" t="str">
        <f>Op_Costs!C53</f>
        <v>Other Utilities</v>
      </c>
      <c r="B61" s="431" t="str">
        <f>IF(Deal_Overview!$V$17&gt;0,G61/Deal_Overview!$V$17,"")</f>
        <v/>
      </c>
      <c r="C61" s="445">
        <f>Op_Costs!J53</f>
        <v>0.03</v>
      </c>
      <c r="D61" s="698">
        <f>Op_Costs!D53</f>
        <v>0</v>
      </c>
      <c r="E61" s="698">
        <f>Op_Costs!E53</f>
        <v>0</v>
      </c>
      <c r="F61" s="698">
        <f>Op_Costs!F53</f>
        <v>0</v>
      </c>
      <c r="G61" s="431">
        <f>Op_Costs!G53</f>
        <v>0</v>
      </c>
      <c r="H61" s="431">
        <f>G61*(1+$C61)</f>
        <v>0</v>
      </c>
      <c r="I61" s="431">
        <f t="shared" si="24"/>
        <v>0</v>
      </c>
      <c r="J61" s="431">
        <f t="shared" si="24"/>
        <v>0</v>
      </c>
      <c r="K61" s="431">
        <f t="shared" si="24"/>
        <v>0</v>
      </c>
      <c r="L61" s="431">
        <f t="shared" si="24"/>
        <v>0</v>
      </c>
      <c r="M61" s="431">
        <f t="shared" si="24"/>
        <v>0</v>
      </c>
      <c r="N61" s="431">
        <f t="shared" si="24"/>
        <v>0</v>
      </c>
      <c r="O61" s="431">
        <f t="shared" si="24"/>
        <v>0</v>
      </c>
      <c r="P61" s="431">
        <f t="shared" si="24"/>
        <v>0</v>
      </c>
      <c r="Q61" s="431">
        <f t="shared" si="24"/>
        <v>0</v>
      </c>
      <c r="R61" s="431">
        <f t="shared" si="24"/>
        <v>0</v>
      </c>
      <c r="S61" s="431">
        <f t="shared" si="24"/>
        <v>0</v>
      </c>
      <c r="T61" s="431">
        <f t="shared" si="24"/>
        <v>0</v>
      </c>
      <c r="U61" s="431">
        <f t="shared" si="24"/>
        <v>0</v>
      </c>
      <c r="V61" s="431">
        <f t="shared" si="24"/>
        <v>0</v>
      </c>
      <c r="W61" s="431">
        <f t="shared" si="24"/>
        <v>0</v>
      </c>
      <c r="X61" s="431">
        <f t="shared" si="24"/>
        <v>0</v>
      </c>
      <c r="Y61" s="431">
        <f t="shared" si="24"/>
        <v>0</v>
      </c>
      <c r="Z61" s="431">
        <f t="shared" si="24"/>
        <v>0</v>
      </c>
      <c r="AA61" s="431">
        <f t="shared" si="24"/>
        <v>0</v>
      </c>
      <c r="AB61" s="431">
        <f t="shared" si="24"/>
        <v>0</v>
      </c>
      <c r="AC61" s="431">
        <f t="shared" si="24"/>
        <v>0</v>
      </c>
      <c r="AD61" s="431">
        <f t="shared" si="24"/>
        <v>0</v>
      </c>
      <c r="AE61" s="431">
        <f t="shared" si="24"/>
        <v>0</v>
      </c>
      <c r="AF61" s="431">
        <f t="shared" si="24"/>
        <v>0</v>
      </c>
      <c r="AG61" s="431">
        <f t="shared" si="24"/>
        <v>0</v>
      </c>
      <c r="AH61" s="431">
        <f t="shared" si="24"/>
        <v>0</v>
      </c>
      <c r="AI61" s="431">
        <f t="shared" si="24"/>
        <v>0</v>
      </c>
      <c r="AJ61" s="431">
        <f t="shared" si="24"/>
        <v>0</v>
      </c>
      <c r="AK61" s="431">
        <f t="shared" si="24"/>
        <v>0</v>
      </c>
      <c r="AL61" s="431">
        <f t="shared" si="24"/>
        <v>0</v>
      </c>
      <c r="AM61" s="431">
        <f t="shared" si="24"/>
        <v>0</v>
      </c>
      <c r="AN61" s="431">
        <f t="shared" si="24"/>
        <v>0</v>
      </c>
      <c r="AO61" s="431">
        <f t="shared" si="24"/>
        <v>0</v>
      </c>
      <c r="AP61" s="431">
        <f t="shared" si="24"/>
        <v>0</v>
      </c>
      <c r="AQ61" s="431">
        <f t="shared" si="24"/>
        <v>0</v>
      </c>
      <c r="AR61" s="431">
        <f t="shared" si="24"/>
        <v>0</v>
      </c>
      <c r="AS61" s="431">
        <f t="shared" si="24"/>
        <v>0</v>
      </c>
      <c r="AT61" s="431">
        <f t="shared" si="24"/>
        <v>0</v>
      </c>
      <c r="AU61" s="431"/>
      <c r="AV61" s="431"/>
      <c r="AW61" s="431"/>
      <c r="AX61" s="431"/>
      <c r="AY61" s="431"/>
      <c r="AZ61" s="431"/>
      <c r="BA61" s="431"/>
    </row>
    <row r="62" spans="1:165" s="450" customFormat="1">
      <c r="A62" s="447" t="str">
        <f>Op_Costs!B54</f>
        <v>Utilities Subtotal</v>
      </c>
      <c r="B62" s="448" t="str">
        <f>IF(Deal_Overview!$V$17&gt;0,G62/Deal_Overview!$V$17,"")</f>
        <v/>
      </c>
      <c r="C62" s="449"/>
      <c r="D62" s="699">
        <f>SUM(D58:D61)</f>
        <v>0</v>
      </c>
      <c r="E62" s="699">
        <f>SUM(E58:E61)</f>
        <v>0</v>
      </c>
      <c r="F62" s="699">
        <f>SUM(F58:F61)</f>
        <v>0</v>
      </c>
      <c r="G62" s="448">
        <f>SUM(G58:G61)</f>
        <v>0</v>
      </c>
      <c r="H62" s="448">
        <f>SUM(H58:H61)</f>
        <v>0</v>
      </c>
      <c r="I62" s="448">
        <f t="shared" ref="I62:AT62" si="25">SUM(I58:I61)</f>
        <v>0</v>
      </c>
      <c r="J62" s="448">
        <f t="shared" si="25"/>
        <v>0</v>
      </c>
      <c r="K62" s="448">
        <f t="shared" si="25"/>
        <v>0</v>
      </c>
      <c r="L62" s="448">
        <f t="shared" si="25"/>
        <v>0</v>
      </c>
      <c r="M62" s="448">
        <f t="shared" si="25"/>
        <v>0</v>
      </c>
      <c r="N62" s="448">
        <f t="shared" si="25"/>
        <v>0</v>
      </c>
      <c r="O62" s="448">
        <f t="shared" si="25"/>
        <v>0</v>
      </c>
      <c r="P62" s="448">
        <f t="shared" si="25"/>
        <v>0</v>
      </c>
      <c r="Q62" s="448">
        <f t="shared" si="25"/>
        <v>0</v>
      </c>
      <c r="R62" s="448">
        <f t="shared" si="25"/>
        <v>0</v>
      </c>
      <c r="S62" s="448">
        <f t="shared" si="25"/>
        <v>0</v>
      </c>
      <c r="T62" s="448">
        <f t="shared" si="25"/>
        <v>0</v>
      </c>
      <c r="U62" s="448">
        <f t="shared" si="25"/>
        <v>0</v>
      </c>
      <c r="V62" s="448">
        <f t="shared" si="25"/>
        <v>0</v>
      </c>
      <c r="W62" s="448">
        <f t="shared" si="25"/>
        <v>0</v>
      </c>
      <c r="X62" s="448">
        <f t="shared" si="25"/>
        <v>0</v>
      </c>
      <c r="Y62" s="448">
        <f t="shared" si="25"/>
        <v>0</v>
      </c>
      <c r="Z62" s="448">
        <f t="shared" si="25"/>
        <v>0</v>
      </c>
      <c r="AA62" s="448">
        <f t="shared" si="25"/>
        <v>0</v>
      </c>
      <c r="AB62" s="448">
        <f t="shared" si="25"/>
        <v>0</v>
      </c>
      <c r="AC62" s="448">
        <f t="shared" si="25"/>
        <v>0</v>
      </c>
      <c r="AD62" s="448">
        <f t="shared" si="25"/>
        <v>0</v>
      </c>
      <c r="AE62" s="448">
        <f t="shared" si="25"/>
        <v>0</v>
      </c>
      <c r="AF62" s="448">
        <f t="shared" si="25"/>
        <v>0</v>
      </c>
      <c r="AG62" s="448">
        <f t="shared" si="25"/>
        <v>0</v>
      </c>
      <c r="AH62" s="448">
        <f t="shared" si="25"/>
        <v>0</v>
      </c>
      <c r="AI62" s="448">
        <f t="shared" si="25"/>
        <v>0</v>
      </c>
      <c r="AJ62" s="448">
        <f t="shared" si="25"/>
        <v>0</v>
      </c>
      <c r="AK62" s="448">
        <f t="shared" si="25"/>
        <v>0</v>
      </c>
      <c r="AL62" s="448">
        <f t="shared" si="25"/>
        <v>0</v>
      </c>
      <c r="AM62" s="448">
        <f t="shared" si="25"/>
        <v>0</v>
      </c>
      <c r="AN62" s="448">
        <f t="shared" si="25"/>
        <v>0</v>
      </c>
      <c r="AO62" s="448">
        <f t="shared" si="25"/>
        <v>0</v>
      </c>
      <c r="AP62" s="448">
        <f t="shared" si="25"/>
        <v>0</v>
      </c>
      <c r="AQ62" s="448">
        <f t="shared" si="25"/>
        <v>0</v>
      </c>
      <c r="AR62" s="448">
        <f t="shared" si="25"/>
        <v>0</v>
      </c>
      <c r="AS62" s="448">
        <f t="shared" si="25"/>
        <v>0</v>
      </c>
      <c r="AT62" s="448">
        <f t="shared" si="25"/>
        <v>0</v>
      </c>
      <c r="AU62" s="448"/>
      <c r="AV62" s="448"/>
      <c r="AW62" s="448"/>
      <c r="AX62" s="448"/>
      <c r="AY62" s="448"/>
      <c r="AZ62" s="448"/>
      <c r="BA62" s="448"/>
    </row>
    <row r="63" spans="1:165" s="298" customFormat="1" hidden="1">
      <c r="A63" s="429" t="str">
        <f>Op_Costs!C55</f>
        <v>Replacement Reserves</v>
      </c>
      <c r="B63" s="297" t="str">
        <f>IF(Deal_Overview!$V$17&gt;0,G63/Deal_Overview!$V$17,"")</f>
        <v/>
      </c>
      <c r="C63" s="430">
        <f>Op_Costs!J55</f>
        <v>0.03</v>
      </c>
      <c r="D63" s="698">
        <f>Op_Costs!D55</f>
        <v>0</v>
      </c>
      <c r="E63" s="698">
        <f>Op_Costs!E55</f>
        <v>0</v>
      </c>
      <c r="F63" s="698">
        <f>Op_Costs!F55</f>
        <v>0</v>
      </c>
      <c r="G63" s="297">
        <f>Op_Costs!G55</f>
        <v>0</v>
      </c>
      <c r="H63" s="431">
        <f>G63*(1+$C63)</f>
        <v>0</v>
      </c>
      <c r="I63" s="431">
        <f t="shared" ref="I63:AT65" si="26">H63*(1+$C63)</f>
        <v>0</v>
      </c>
      <c r="J63" s="431">
        <f t="shared" si="26"/>
        <v>0</v>
      </c>
      <c r="K63" s="431">
        <f t="shared" si="26"/>
        <v>0</v>
      </c>
      <c r="L63" s="431">
        <f t="shared" si="26"/>
        <v>0</v>
      </c>
      <c r="M63" s="431">
        <f t="shared" si="26"/>
        <v>0</v>
      </c>
      <c r="N63" s="431">
        <f t="shared" si="26"/>
        <v>0</v>
      </c>
      <c r="O63" s="431">
        <f t="shared" si="26"/>
        <v>0</v>
      </c>
      <c r="P63" s="431">
        <f t="shared" si="26"/>
        <v>0</v>
      </c>
      <c r="Q63" s="431">
        <f t="shared" si="26"/>
        <v>0</v>
      </c>
      <c r="R63" s="431">
        <f t="shared" si="26"/>
        <v>0</v>
      </c>
      <c r="S63" s="431">
        <f t="shared" si="26"/>
        <v>0</v>
      </c>
      <c r="T63" s="431">
        <f t="shared" si="26"/>
        <v>0</v>
      </c>
      <c r="U63" s="431">
        <f t="shared" si="26"/>
        <v>0</v>
      </c>
      <c r="V63" s="431">
        <f t="shared" si="26"/>
        <v>0</v>
      </c>
      <c r="W63" s="431">
        <f t="shared" si="26"/>
        <v>0</v>
      </c>
      <c r="X63" s="431">
        <f t="shared" si="26"/>
        <v>0</v>
      </c>
      <c r="Y63" s="431">
        <f t="shared" si="26"/>
        <v>0</v>
      </c>
      <c r="Z63" s="431">
        <f t="shared" si="26"/>
        <v>0</v>
      </c>
      <c r="AA63" s="431">
        <f t="shared" si="26"/>
        <v>0</v>
      </c>
      <c r="AB63" s="431">
        <f t="shared" si="26"/>
        <v>0</v>
      </c>
      <c r="AC63" s="431">
        <f t="shared" si="26"/>
        <v>0</v>
      </c>
      <c r="AD63" s="431">
        <f t="shared" si="26"/>
        <v>0</v>
      </c>
      <c r="AE63" s="431">
        <f t="shared" si="26"/>
        <v>0</v>
      </c>
      <c r="AF63" s="431">
        <f t="shared" si="26"/>
        <v>0</v>
      </c>
      <c r="AG63" s="431">
        <f t="shared" si="26"/>
        <v>0</v>
      </c>
      <c r="AH63" s="431">
        <f t="shared" si="26"/>
        <v>0</v>
      </c>
      <c r="AI63" s="431">
        <f t="shared" si="26"/>
        <v>0</v>
      </c>
      <c r="AJ63" s="431">
        <f t="shared" si="26"/>
        <v>0</v>
      </c>
      <c r="AK63" s="431">
        <f t="shared" si="26"/>
        <v>0</v>
      </c>
      <c r="AL63" s="431">
        <f t="shared" si="26"/>
        <v>0</v>
      </c>
      <c r="AM63" s="431">
        <f t="shared" si="26"/>
        <v>0</v>
      </c>
      <c r="AN63" s="431">
        <f t="shared" si="26"/>
        <v>0</v>
      </c>
      <c r="AO63" s="431">
        <f t="shared" si="26"/>
        <v>0</v>
      </c>
      <c r="AP63" s="431">
        <f t="shared" si="26"/>
        <v>0</v>
      </c>
      <c r="AQ63" s="431">
        <f t="shared" si="26"/>
        <v>0</v>
      </c>
      <c r="AR63" s="431">
        <f t="shared" si="26"/>
        <v>0</v>
      </c>
      <c r="AS63" s="431">
        <f t="shared" si="26"/>
        <v>0</v>
      </c>
      <c r="AT63" s="431">
        <f t="shared" si="26"/>
        <v>0</v>
      </c>
      <c r="AU63" s="431"/>
      <c r="AV63" s="431"/>
      <c r="AW63" s="431"/>
      <c r="AX63" s="431"/>
      <c r="AY63" s="431"/>
      <c r="AZ63" s="431"/>
      <c r="BA63" s="431"/>
      <c r="BB63" s="432"/>
      <c r="BC63" s="432"/>
      <c r="BD63" s="432"/>
      <c r="BE63" s="432"/>
      <c r="BF63" s="432"/>
      <c r="BG63" s="432"/>
      <c r="BH63" s="432"/>
      <c r="BI63" s="432"/>
      <c r="BJ63" s="432"/>
      <c r="BK63" s="432"/>
      <c r="BL63" s="432"/>
      <c r="BM63" s="432"/>
      <c r="BN63" s="432"/>
      <c r="BO63" s="432"/>
      <c r="BP63" s="432"/>
      <c r="BQ63" s="432"/>
      <c r="BR63" s="432"/>
      <c r="BS63" s="432"/>
      <c r="BT63" s="432"/>
      <c r="BU63" s="432"/>
      <c r="BV63" s="432"/>
      <c r="BW63" s="432"/>
      <c r="BX63" s="432"/>
      <c r="BY63" s="432"/>
      <c r="BZ63" s="432"/>
      <c r="CA63" s="432"/>
      <c r="CB63" s="432"/>
      <c r="CC63" s="432"/>
      <c r="CD63" s="432"/>
      <c r="CE63" s="432"/>
      <c r="CF63" s="432"/>
      <c r="CG63" s="432"/>
      <c r="CH63" s="432"/>
      <c r="CI63" s="432"/>
      <c r="CJ63" s="432"/>
      <c r="CK63" s="432"/>
      <c r="CL63" s="432"/>
      <c r="CM63" s="432"/>
      <c r="CN63" s="432"/>
      <c r="CO63" s="432"/>
      <c r="CP63" s="432"/>
      <c r="CQ63" s="432"/>
      <c r="CR63" s="432"/>
      <c r="CS63" s="432"/>
      <c r="CT63" s="432"/>
      <c r="CU63" s="432"/>
      <c r="CV63" s="432"/>
      <c r="CW63" s="432"/>
      <c r="CX63" s="432"/>
      <c r="CY63" s="432"/>
      <c r="CZ63" s="432"/>
      <c r="DA63" s="432"/>
      <c r="DB63" s="432"/>
      <c r="DC63" s="432"/>
      <c r="DD63" s="432"/>
      <c r="DE63" s="432"/>
      <c r="DF63" s="432"/>
      <c r="DG63" s="432"/>
      <c r="DH63" s="432"/>
      <c r="DI63" s="432"/>
      <c r="DJ63" s="432"/>
      <c r="DK63" s="432"/>
      <c r="DL63" s="432"/>
      <c r="DM63" s="432"/>
      <c r="DN63" s="432"/>
      <c r="DO63" s="432"/>
      <c r="DP63" s="432"/>
      <c r="DQ63" s="432"/>
      <c r="DR63" s="432"/>
      <c r="DS63" s="432"/>
      <c r="DT63" s="432"/>
      <c r="DU63" s="432"/>
      <c r="DV63" s="432"/>
      <c r="DW63" s="432"/>
      <c r="DX63" s="432"/>
      <c r="DY63" s="432"/>
      <c r="DZ63" s="432"/>
      <c r="EA63" s="432"/>
      <c r="EB63" s="432"/>
      <c r="EC63" s="432"/>
      <c r="ED63" s="432"/>
      <c r="EE63" s="432"/>
      <c r="EF63" s="432"/>
      <c r="EG63" s="432"/>
      <c r="EH63" s="432"/>
      <c r="EI63" s="432"/>
      <c r="EJ63" s="432"/>
      <c r="EK63" s="432"/>
      <c r="EL63" s="432"/>
      <c r="EM63" s="432"/>
      <c r="EN63" s="432"/>
      <c r="EO63" s="432"/>
      <c r="EP63" s="432"/>
      <c r="EQ63" s="432"/>
      <c r="ER63" s="432"/>
      <c r="ES63" s="432"/>
      <c r="ET63" s="432"/>
      <c r="EU63" s="432"/>
      <c r="EV63" s="432"/>
      <c r="EW63" s="432"/>
      <c r="EX63" s="432"/>
      <c r="EY63" s="432"/>
      <c r="EZ63" s="432"/>
      <c r="FA63" s="432"/>
      <c r="FB63" s="432"/>
      <c r="FC63" s="432"/>
      <c r="FD63" s="432"/>
      <c r="FE63" s="432"/>
      <c r="FF63" s="432"/>
      <c r="FG63" s="432"/>
      <c r="FH63" s="432"/>
      <c r="FI63" s="432"/>
    </row>
    <row r="64" spans="1:165" s="298" customFormat="1" hidden="1">
      <c r="A64" s="429" t="str">
        <f>Op_Costs!C56</f>
        <v>Operating Reserves</v>
      </c>
      <c r="B64" s="297" t="str">
        <f>IF(Deal_Overview!$V$17&gt;0,G64/Deal_Overview!$V$17,"")</f>
        <v/>
      </c>
      <c r="C64" s="430">
        <f>Op_Costs!J56</f>
        <v>0.03</v>
      </c>
      <c r="D64" s="698">
        <f>Op_Costs!D56</f>
        <v>0</v>
      </c>
      <c r="E64" s="698">
        <f>Op_Costs!E56</f>
        <v>0</v>
      </c>
      <c r="F64" s="698">
        <f>Op_Costs!F56</f>
        <v>0</v>
      </c>
      <c r="G64" s="297">
        <f>Op_Costs!G56</f>
        <v>0</v>
      </c>
      <c r="H64" s="431">
        <f>G64*(1+$C64)</f>
        <v>0</v>
      </c>
      <c r="I64" s="431">
        <f t="shared" si="26"/>
        <v>0</v>
      </c>
      <c r="J64" s="431">
        <f t="shared" si="26"/>
        <v>0</v>
      </c>
      <c r="K64" s="431">
        <f t="shared" si="26"/>
        <v>0</v>
      </c>
      <c r="L64" s="431">
        <f t="shared" si="26"/>
        <v>0</v>
      </c>
      <c r="M64" s="431">
        <f t="shared" si="26"/>
        <v>0</v>
      </c>
      <c r="N64" s="431">
        <f t="shared" si="26"/>
        <v>0</v>
      </c>
      <c r="O64" s="431">
        <f t="shared" si="26"/>
        <v>0</v>
      </c>
      <c r="P64" s="431">
        <f t="shared" si="26"/>
        <v>0</v>
      </c>
      <c r="Q64" s="431">
        <f t="shared" si="26"/>
        <v>0</v>
      </c>
      <c r="R64" s="431">
        <f t="shared" si="26"/>
        <v>0</v>
      </c>
      <c r="S64" s="431">
        <f t="shared" si="26"/>
        <v>0</v>
      </c>
      <c r="T64" s="431">
        <f t="shared" si="26"/>
        <v>0</v>
      </c>
      <c r="U64" s="431">
        <f t="shared" si="26"/>
        <v>0</v>
      </c>
      <c r="V64" s="431">
        <f t="shared" si="26"/>
        <v>0</v>
      </c>
      <c r="W64" s="431">
        <f t="shared" si="26"/>
        <v>0</v>
      </c>
      <c r="X64" s="431">
        <f t="shared" si="26"/>
        <v>0</v>
      </c>
      <c r="Y64" s="431">
        <f t="shared" si="26"/>
        <v>0</v>
      </c>
      <c r="Z64" s="431">
        <f t="shared" si="26"/>
        <v>0</v>
      </c>
      <c r="AA64" s="431">
        <f t="shared" si="26"/>
        <v>0</v>
      </c>
      <c r="AB64" s="431">
        <f t="shared" si="26"/>
        <v>0</v>
      </c>
      <c r="AC64" s="431">
        <f t="shared" si="26"/>
        <v>0</v>
      </c>
      <c r="AD64" s="431">
        <f t="shared" si="26"/>
        <v>0</v>
      </c>
      <c r="AE64" s="431">
        <f t="shared" si="26"/>
        <v>0</v>
      </c>
      <c r="AF64" s="431">
        <f t="shared" si="26"/>
        <v>0</v>
      </c>
      <c r="AG64" s="431">
        <f t="shared" si="26"/>
        <v>0</v>
      </c>
      <c r="AH64" s="431">
        <f t="shared" si="26"/>
        <v>0</v>
      </c>
      <c r="AI64" s="431">
        <f t="shared" si="26"/>
        <v>0</v>
      </c>
      <c r="AJ64" s="431">
        <f t="shared" si="26"/>
        <v>0</v>
      </c>
      <c r="AK64" s="431">
        <f t="shared" si="26"/>
        <v>0</v>
      </c>
      <c r="AL64" s="431">
        <f t="shared" si="26"/>
        <v>0</v>
      </c>
      <c r="AM64" s="431">
        <f t="shared" si="26"/>
        <v>0</v>
      </c>
      <c r="AN64" s="431">
        <f t="shared" si="26"/>
        <v>0</v>
      </c>
      <c r="AO64" s="431">
        <f t="shared" si="26"/>
        <v>0</v>
      </c>
      <c r="AP64" s="431">
        <f t="shared" si="26"/>
        <v>0</v>
      </c>
      <c r="AQ64" s="431">
        <f t="shared" si="26"/>
        <v>0</v>
      </c>
      <c r="AR64" s="431">
        <f t="shared" si="26"/>
        <v>0</v>
      </c>
      <c r="AS64" s="431">
        <f t="shared" si="26"/>
        <v>0</v>
      </c>
      <c r="AT64" s="431">
        <f t="shared" si="26"/>
        <v>0</v>
      </c>
      <c r="AU64" s="431"/>
      <c r="AV64" s="431"/>
      <c r="AW64" s="431"/>
      <c r="AX64" s="431"/>
      <c r="AY64" s="431"/>
      <c r="AZ64" s="431"/>
      <c r="BA64" s="431"/>
      <c r="BB64" s="432"/>
      <c r="BC64" s="432"/>
      <c r="BD64" s="432"/>
      <c r="BE64" s="432"/>
      <c r="BF64" s="432"/>
      <c r="BG64" s="432"/>
      <c r="BH64" s="432"/>
      <c r="BI64" s="432"/>
      <c r="BJ64" s="432"/>
      <c r="BK64" s="432"/>
      <c r="BL64" s="432"/>
      <c r="BM64" s="432"/>
      <c r="BN64" s="432"/>
      <c r="BO64" s="432"/>
      <c r="BP64" s="432"/>
      <c r="BQ64" s="432"/>
      <c r="BR64" s="432"/>
      <c r="BS64" s="432"/>
      <c r="BT64" s="432"/>
      <c r="BU64" s="432"/>
      <c r="BV64" s="432"/>
      <c r="BW64" s="432"/>
      <c r="BX64" s="432"/>
      <c r="BY64" s="432"/>
      <c r="BZ64" s="432"/>
      <c r="CA64" s="432"/>
      <c r="CB64" s="432"/>
      <c r="CC64" s="432"/>
      <c r="CD64" s="432"/>
      <c r="CE64" s="432"/>
      <c r="CF64" s="432"/>
      <c r="CG64" s="432"/>
      <c r="CH64" s="432"/>
      <c r="CI64" s="432"/>
      <c r="CJ64" s="432"/>
      <c r="CK64" s="432"/>
      <c r="CL64" s="432"/>
      <c r="CM64" s="432"/>
      <c r="CN64" s="432"/>
      <c r="CO64" s="432"/>
      <c r="CP64" s="432"/>
      <c r="CQ64" s="432"/>
      <c r="CR64" s="432"/>
      <c r="CS64" s="432"/>
      <c r="CT64" s="432"/>
      <c r="CU64" s="432"/>
      <c r="CV64" s="432"/>
      <c r="CW64" s="432"/>
      <c r="CX64" s="432"/>
      <c r="CY64" s="432"/>
      <c r="CZ64" s="432"/>
      <c r="DA64" s="432"/>
      <c r="DB64" s="432"/>
      <c r="DC64" s="432"/>
      <c r="DD64" s="432"/>
      <c r="DE64" s="432"/>
      <c r="DF64" s="432"/>
      <c r="DG64" s="432"/>
      <c r="DH64" s="432"/>
      <c r="DI64" s="432"/>
      <c r="DJ64" s="432"/>
      <c r="DK64" s="432"/>
      <c r="DL64" s="432"/>
      <c r="DM64" s="432"/>
      <c r="DN64" s="432"/>
      <c r="DO64" s="432"/>
      <c r="DP64" s="432"/>
      <c r="DQ64" s="432"/>
      <c r="DR64" s="432"/>
      <c r="DS64" s="432"/>
      <c r="DT64" s="432"/>
      <c r="DU64" s="432"/>
      <c r="DV64" s="432"/>
      <c r="DW64" s="432"/>
      <c r="DX64" s="432"/>
      <c r="DY64" s="432"/>
      <c r="DZ64" s="432"/>
      <c r="EA64" s="432"/>
      <c r="EB64" s="432"/>
      <c r="EC64" s="432"/>
      <c r="ED64" s="432"/>
      <c r="EE64" s="432"/>
      <c r="EF64" s="432"/>
      <c r="EG64" s="432"/>
      <c r="EH64" s="432"/>
      <c r="EI64" s="432"/>
      <c r="EJ64" s="432"/>
      <c r="EK64" s="432"/>
      <c r="EL64" s="432"/>
      <c r="EM64" s="432"/>
      <c r="EN64" s="432"/>
      <c r="EO64" s="432"/>
      <c r="EP64" s="432"/>
      <c r="EQ64" s="432"/>
      <c r="ER64" s="432"/>
      <c r="ES64" s="432"/>
      <c r="ET64" s="432"/>
      <c r="EU64" s="432"/>
      <c r="EV64" s="432"/>
      <c r="EW64" s="432"/>
      <c r="EX64" s="432"/>
      <c r="EY64" s="432"/>
      <c r="EZ64" s="432"/>
      <c r="FA64" s="432"/>
      <c r="FB64" s="432"/>
      <c r="FC64" s="432"/>
      <c r="FD64" s="432"/>
      <c r="FE64" s="432"/>
      <c r="FF64" s="432"/>
      <c r="FG64" s="432"/>
      <c r="FH64" s="432"/>
      <c r="FI64" s="432"/>
    </row>
    <row r="65" spans="1:165" s="432" customFormat="1" hidden="1">
      <c r="A65" s="444" t="str">
        <f>Op_Costs!C57</f>
        <v>Other Reserves</v>
      </c>
      <c r="B65" s="431" t="str">
        <f>IF(Deal_Overview!$V$17&gt;0,G65/Deal_Overview!$V$17,"")</f>
        <v/>
      </c>
      <c r="C65" s="445">
        <f>Op_Costs!J57</f>
        <v>0.03</v>
      </c>
      <c r="D65" s="698">
        <f>Op_Costs!D57</f>
        <v>0</v>
      </c>
      <c r="E65" s="698">
        <f>Op_Costs!E57</f>
        <v>0</v>
      </c>
      <c r="F65" s="698">
        <f>Op_Costs!F57</f>
        <v>0</v>
      </c>
      <c r="G65" s="431">
        <f>Op_Costs!G57</f>
        <v>0</v>
      </c>
      <c r="H65" s="431">
        <f>G65*(1+$C65)</f>
        <v>0</v>
      </c>
      <c r="I65" s="431">
        <f t="shared" si="26"/>
        <v>0</v>
      </c>
      <c r="J65" s="431">
        <f t="shared" si="26"/>
        <v>0</v>
      </c>
      <c r="K65" s="431">
        <f t="shared" si="26"/>
        <v>0</v>
      </c>
      <c r="L65" s="431">
        <f t="shared" si="26"/>
        <v>0</v>
      </c>
      <c r="M65" s="431">
        <f t="shared" si="26"/>
        <v>0</v>
      </c>
      <c r="N65" s="431">
        <f t="shared" si="26"/>
        <v>0</v>
      </c>
      <c r="O65" s="431">
        <f t="shared" si="26"/>
        <v>0</v>
      </c>
      <c r="P65" s="431">
        <f t="shared" si="26"/>
        <v>0</v>
      </c>
      <c r="Q65" s="431">
        <f t="shared" si="26"/>
        <v>0</v>
      </c>
      <c r="R65" s="431">
        <f t="shared" si="26"/>
        <v>0</v>
      </c>
      <c r="S65" s="431">
        <f t="shared" si="26"/>
        <v>0</v>
      </c>
      <c r="T65" s="431">
        <f t="shared" si="26"/>
        <v>0</v>
      </c>
      <c r="U65" s="431">
        <f t="shared" si="26"/>
        <v>0</v>
      </c>
      <c r="V65" s="431">
        <f t="shared" si="26"/>
        <v>0</v>
      </c>
      <c r="W65" s="431">
        <f t="shared" si="26"/>
        <v>0</v>
      </c>
      <c r="X65" s="431">
        <f t="shared" si="26"/>
        <v>0</v>
      </c>
      <c r="Y65" s="431">
        <f t="shared" si="26"/>
        <v>0</v>
      </c>
      <c r="Z65" s="431">
        <f t="shared" si="26"/>
        <v>0</v>
      </c>
      <c r="AA65" s="431">
        <f t="shared" si="26"/>
        <v>0</v>
      </c>
      <c r="AB65" s="431">
        <f t="shared" si="26"/>
        <v>0</v>
      </c>
      <c r="AC65" s="431">
        <f t="shared" si="26"/>
        <v>0</v>
      </c>
      <c r="AD65" s="431">
        <f t="shared" si="26"/>
        <v>0</v>
      </c>
      <c r="AE65" s="431">
        <f t="shared" si="26"/>
        <v>0</v>
      </c>
      <c r="AF65" s="431">
        <f t="shared" si="26"/>
        <v>0</v>
      </c>
      <c r="AG65" s="431">
        <f t="shared" si="26"/>
        <v>0</v>
      </c>
      <c r="AH65" s="431">
        <f t="shared" si="26"/>
        <v>0</v>
      </c>
      <c r="AI65" s="431">
        <f t="shared" si="26"/>
        <v>0</v>
      </c>
      <c r="AJ65" s="431">
        <f t="shared" si="26"/>
        <v>0</v>
      </c>
      <c r="AK65" s="431">
        <f t="shared" si="26"/>
        <v>0</v>
      </c>
      <c r="AL65" s="431">
        <f t="shared" si="26"/>
        <v>0</v>
      </c>
      <c r="AM65" s="431">
        <f t="shared" si="26"/>
        <v>0</v>
      </c>
      <c r="AN65" s="431">
        <f t="shared" si="26"/>
        <v>0</v>
      </c>
      <c r="AO65" s="431">
        <f t="shared" si="26"/>
        <v>0</v>
      </c>
      <c r="AP65" s="431">
        <f t="shared" si="26"/>
        <v>0</v>
      </c>
      <c r="AQ65" s="431">
        <f t="shared" si="26"/>
        <v>0</v>
      </c>
      <c r="AR65" s="431">
        <f t="shared" si="26"/>
        <v>0</v>
      </c>
      <c r="AS65" s="431">
        <f t="shared" si="26"/>
        <v>0</v>
      </c>
      <c r="AT65" s="431">
        <f t="shared" si="26"/>
        <v>0</v>
      </c>
      <c r="AU65" s="431"/>
      <c r="AV65" s="431"/>
      <c r="AW65" s="431"/>
      <c r="AX65" s="431"/>
      <c r="AY65" s="431"/>
      <c r="AZ65" s="431"/>
      <c r="BA65" s="431"/>
    </row>
    <row r="66" spans="1:165" s="450" customFormat="1">
      <c r="A66" s="447" t="str">
        <f>Op_Costs!B58</f>
        <v>Reserves Subtotal</v>
      </c>
      <c r="B66" s="448" t="str">
        <f>IF(Deal_Overview!$V$17&gt;0,G66/Deal_Overview!$V$17,"")</f>
        <v/>
      </c>
      <c r="C66" s="449"/>
      <c r="D66" s="699">
        <f>SUM(D63:D65)</f>
        <v>0</v>
      </c>
      <c r="E66" s="699">
        <f>SUM(E63:E65)</f>
        <v>0</v>
      </c>
      <c r="F66" s="699">
        <f>SUM(F63:F65)</f>
        <v>0</v>
      </c>
      <c r="G66" s="448">
        <f>SUM(G63:G65)</f>
        <v>0</v>
      </c>
      <c r="H66" s="448">
        <f>SUM(H63:H65)</f>
        <v>0</v>
      </c>
      <c r="I66" s="448">
        <f t="shared" ref="I66:AT66" si="27">SUM(I63:I65)</f>
        <v>0</v>
      </c>
      <c r="J66" s="448">
        <f t="shared" si="27"/>
        <v>0</v>
      </c>
      <c r="K66" s="448">
        <f t="shared" si="27"/>
        <v>0</v>
      </c>
      <c r="L66" s="448">
        <f t="shared" si="27"/>
        <v>0</v>
      </c>
      <c r="M66" s="448">
        <f t="shared" si="27"/>
        <v>0</v>
      </c>
      <c r="N66" s="448">
        <f t="shared" si="27"/>
        <v>0</v>
      </c>
      <c r="O66" s="448">
        <f t="shared" si="27"/>
        <v>0</v>
      </c>
      <c r="P66" s="448">
        <f t="shared" si="27"/>
        <v>0</v>
      </c>
      <c r="Q66" s="448">
        <f t="shared" si="27"/>
        <v>0</v>
      </c>
      <c r="R66" s="448">
        <f t="shared" si="27"/>
        <v>0</v>
      </c>
      <c r="S66" s="448">
        <f t="shared" si="27"/>
        <v>0</v>
      </c>
      <c r="T66" s="448">
        <f t="shared" si="27"/>
        <v>0</v>
      </c>
      <c r="U66" s="448">
        <f t="shared" si="27"/>
        <v>0</v>
      </c>
      <c r="V66" s="448">
        <f t="shared" si="27"/>
        <v>0</v>
      </c>
      <c r="W66" s="448">
        <f t="shared" si="27"/>
        <v>0</v>
      </c>
      <c r="X66" s="448">
        <f t="shared" si="27"/>
        <v>0</v>
      </c>
      <c r="Y66" s="448">
        <f t="shared" si="27"/>
        <v>0</v>
      </c>
      <c r="Z66" s="448">
        <f t="shared" si="27"/>
        <v>0</v>
      </c>
      <c r="AA66" s="448">
        <f t="shared" si="27"/>
        <v>0</v>
      </c>
      <c r="AB66" s="448">
        <f t="shared" si="27"/>
        <v>0</v>
      </c>
      <c r="AC66" s="448">
        <f t="shared" si="27"/>
        <v>0</v>
      </c>
      <c r="AD66" s="448">
        <f t="shared" si="27"/>
        <v>0</v>
      </c>
      <c r="AE66" s="448">
        <f t="shared" si="27"/>
        <v>0</v>
      </c>
      <c r="AF66" s="448">
        <f t="shared" si="27"/>
        <v>0</v>
      </c>
      <c r="AG66" s="448">
        <f t="shared" si="27"/>
        <v>0</v>
      </c>
      <c r="AH66" s="448">
        <f t="shared" si="27"/>
        <v>0</v>
      </c>
      <c r="AI66" s="448">
        <f t="shared" si="27"/>
        <v>0</v>
      </c>
      <c r="AJ66" s="448">
        <f t="shared" si="27"/>
        <v>0</v>
      </c>
      <c r="AK66" s="448">
        <f t="shared" si="27"/>
        <v>0</v>
      </c>
      <c r="AL66" s="448">
        <f t="shared" si="27"/>
        <v>0</v>
      </c>
      <c r="AM66" s="448">
        <f t="shared" si="27"/>
        <v>0</v>
      </c>
      <c r="AN66" s="448">
        <f t="shared" si="27"/>
        <v>0</v>
      </c>
      <c r="AO66" s="448">
        <f t="shared" si="27"/>
        <v>0</v>
      </c>
      <c r="AP66" s="448">
        <f t="shared" si="27"/>
        <v>0</v>
      </c>
      <c r="AQ66" s="448">
        <f t="shared" si="27"/>
        <v>0</v>
      </c>
      <c r="AR66" s="448">
        <f t="shared" si="27"/>
        <v>0</v>
      </c>
      <c r="AS66" s="448">
        <f t="shared" si="27"/>
        <v>0</v>
      </c>
      <c r="AT66" s="448">
        <f t="shared" si="27"/>
        <v>0</v>
      </c>
      <c r="AU66" s="448"/>
      <c r="AV66" s="448"/>
      <c r="AW66" s="448"/>
      <c r="AX66" s="448"/>
      <c r="AY66" s="448"/>
      <c r="AZ66" s="448"/>
      <c r="BA66" s="448"/>
    </row>
    <row r="67" spans="1:165" s="298" customFormat="1" hidden="1">
      <c r="A67" s="429" t="str">
        <f>Op_Costs!C59</f>
        <v>Tenant Services</v>
      </c>
      <c r="B67" s="297" t="str">
        <f>IF(Deal_Overview!$V$17&gt;0,G67/Deal_Overview!$V$17,"")</f>
        <v/>
      </c>
      <c r="C67" s="430">
        <f>Op_Costs!J59</f>
        <v>0.03</v>
      </c>
      <c r="D67" s="698">
        <f>Op_Costs!D59</f>
        <v>0</v>
      </c>
      <c r="E67" s="698">
        <f>Op_Costs!E59</f>
        <v>0</v>
      </c>
      <c r="F67" s="698">
        <f>Op_Costs!F59</f>
        <v>0</v>
      </c>
      <c r="G67" s="297">
        <f>Op_Costs!G59</f>
        <v>0</v>
      </c>
      <c r="H67" s="431">
        <f t="shared" ref="H67:AT67" si="28">G67*(1+$C$67)</f>
        <v>0</v>
      </c>
      <c r="I67" s="431">
        <f t="shared" si="28"/>
        <v>0</v>
      </c>
      <c r="J67" s="431">
        <f t="shared" si="28"/>
        <v>0</v>
      </c>
      <c r="K67" s="431">
        <f t="shared" si="28"/>
        <v>0</v>
      </c>
      <c r="L67" s="431">
        <f t="shared" si="28"/>
        <v>0</v>
      </c>
      <c r="M67" s="431">
        <f t="shared" si="28"/>
        <v>0</v>
      </c>
      <c r="N67" s="431">
        <f t="shared" si="28"/>
        <v>0</v>
      </c>
      <c r="O67" s="431">
        <f t="shared" si="28"/>
        <v>0</v>
      </c>
      <c r="P67" s="431">
        <f t="shared" si="28"/>
        <v>0</v>
      </c>
      <c r="Q67" s="431">
        <f t="shared" si="28"/>
        <v>0</v>
      </c>
      <c r="R67" s="431">
        <f t="shared" si="28"/>
        <v>0</v>
      </c>
      <c r="S67" s="431">
        <f t="shared" si="28"/>
        <v>0</v>
      </c>
      <c r="T67" s="431">
        <f t="shared" si="28"/>
        <v>0</v>
      </c>
      <c r="U67" s="431">
        <f t="shared" si="28"/>
        <v>0</v>
      </c>
      <c r="V67" s="431">
        <f t="shared" si="28"/>
        <v>0</v>
      </c>
      <c r="W67" s="431">
        <f t="shared" si="28"/>
        <v>0</v>
      </c>
      <c r="X67" s="431">
        <f t="shared" si="28"/>
        <v>0</v>
      </c>
      <c r="Y67" s="431">
        <f t="shared" si="28"/>
        <v>0</v>
      </c>
      <c r="Z67" s="431">
        <f t="shared" si="28"/>
        <v>0</v>
      </c>
      <c r="AA67" s="431">
        <f t="shared" si="28"/>
        <v>0</v>
      </c>
      <c r="AB67" s="431">
        <f t="shared" si="28"/>
        <v>0</v>
      </c>
      <c r="AC67" s="431">
        <f t="shared" si="28"/>
        <v>0</v>
      </c>
      <c r="AD67" s="431">
        <f t="shared" si="28"/>
        <v>0</v>
      </c>
      <c r="AE67" s="431">
        <f t="shared" si="28"/>
        <v>0</v>
      </c>
      <c r="AF67" s="431">
        <f t="shared" si="28"/>
        <v>0</v>
      </c>
      <c r="AG67" s="431">
        <f t="shared" si="28"/>
        <v>0</v>
      </c>
      <c r="AH67" s="431">
        <f t="shared" si="28"/>
        <v>0</v>
      </c>
      <c r="AI67" s="431">
        <f t="shared" si="28"/>
        <v>0</v>
      </c>
      <c r="AJ67" s="431">
        <f t="shared" si="28"/>
        <v>0</v>
      </c>
      <c r="AK67" s="431">
        <f t="shared" si="28"/>
        <v>0</v>
      </c>
      <c r="AL67" s="431">
        <f t="shared" si="28"/>
        <v>0</v>
      </c>
      <c r="AM67" s="431">
        <f t="shared" si="28"/>
        <v>0</v>
      </c>
      <c r="AN67" s="431">
        <f t="shared" si="28"/>
        <v>0</v>
      </c>
      <c r="AO67" s="431">
        <f t="shared" si="28"/>
        <v>0</v>
      </c>
      <c r="AP67" s="431">
        <f t="shared" si="28"/>
        <v>0</v>
      </c>
      <c r="AQ67" s="431">
        <f t="shared" si="28"/>
        <v>0</v>
      </c>
      <c r="AR67" s="431">
        <f t="shared" si="28"/>
        <v>0</v>
      </c>
      <c r="AS67" s="431">
        <f t="shared" si="28"/>
        <v>0</v>
      </c>
      <c r="AT67" s="431">
        <f t="shared" si="28"/>
        <v>0</v>
      </c>
      <c r="AU67" s="431"/>
      <c r="AV67" s="431"/>
      <c r="AW67" s="431"/>
      <c r="AX67" s="431"/>
      <c r="AY67" s="431"/>
      <c r="AZ67" s="431"/>
      <c r="BA67" s="431"/>
      <c r="BB67" s="432"/>
      <c r="BC67" s="432"/>
      <c r="BD67" s="432"/>
      <c r="BE67" s="432"/>
      <c r="BF67" s="432"/>
      <c r="BG67" s="432"/>
      <c r="BH67" s="432"/>
      <c r="BI67" s="432"/>
      <c r="BJ67" s="432"/>
      <c r="BK67" s="432"/>
      <c r="BL67" s="432"/>
      <c r="BM67" s="432"/>
      <c r="BN67" s="432"/>
      <c r="BO67" s="432"/>
      <c r="BP67" s="432"/>
      <c r="BQ67" s="432"/>
      <c r="BR67" s="432"/>
      <c r="BS67" s="432"/>
      <c r="BT67" s="432"/>
      <c r="BU67" s="432"/>
      <c r="BV67" s="432"/>
      <c r="BW67" s="432"/>
      <c r="BX67" s="432"/>
      <c r="BY67" s="432"/>
      <c r="BZ67" s="432"/>
      <c r="CA67" s="432"/>
      <c r="CB67" s="432"/>
      <c r="CC67" s="432"/>
      <c r="CD67" s="432"/>
      <c r="CE67" s="432"/>
      <c r="CF67" s="432"/>
      <c r="CG67" s="432"/>
      <c r="CH67" s="432"/>
      <c r="CI67" s="432"/>
      <c r="CJ67" s="432"/>
      <c r="CK67" s="432"/>
      <c r="CL67" s="432"/>
      <c r="CM67" s="432"/>
      <c r="CN67" s="432"/>
      <c r="CO67" s="432"/>
      <c r="CP67" s="432"/>
      <c r="CQ67" s="432"/>
      <c r="CR67" s="432"/>
      <c r="CS67" s="432"/>
      <c r="CT67" s="432"/>
      <c r="CU67" s="432"/>
      <c r="CV67" s="432"/>
      <c r="CW67" s="432"/>
      <c r="CX67" s="432"/>
      <c r="CY67" s="432"/>
      <c r="CZ67" s="432"/>
      <c r="DA67" s="432"/>
      <c r="DB67" s="432"/>
      <c r="DC67" s="432"/>
      <c r="DD67" s="432"/>
      <c r="DE67" s="432"/>
      <c r="DF67" s="432"/>
      <c r="DG67" s="432"/>
      <c r="DH67" s="432"/>
      <c r="DI67" s="432"/>
      <c r="DJ67" s="432"/>
      <c r="DK67" s="432"/>
      <c r="DL67" s="432"/>
      <c r="DM67" s="432"/>
      <c r="DN67" s="432"/>
      <c r="DO67" s="432"/>
      <c r="DP67" s="432"/>
      <c r="DQ67" s="432"/>
      <c r="DR67" s="432"/>
      <c r="DS67" s="432"/>
      <c r="DT67" s="432"/>
      <c r="DU67" s="432"/>
      <c r="DV67" s="432"/>
      <c r="DW67" s="432"/>
      <c r="DX67" s="432"/>
      <c r="DY67" s="432"/>
      <c r="DZ67" s="432"/>
      <c r="EA67" s="432"/>
      <c r="EB67" s="432"/>
      <c r="EC67" s="432"/>
      <c r="ED67" s="432"/>
      <c r="EE67" s="432"/>
      <c r="EF67" s="432"/>
      <c r="EG67" s="432"/>
      <c r="EH67" s="432"/>
      <c r="EI67" s="432"/>
      <c r="EJ67" s="432"/>
      <c r="EK67" s="432"/>
      <c r="EL67" s="432"/>
      <c r="EM67" s="432"/>
      <c r="EN67" s="432"/>
      <c r="EO67" s="432"/>
      <c r="EP67" s="432"/>
      <c r="EQ67" s="432"/>
      <c r="ER67" s="432"/>
      <c r="ES67" s="432"/>
      <c r="ET67" s="432"/>
      <c r="EU67" s="432"/>
      <c r="EV67" s="432"/>
      <c r="EW67" s="432"/>
      <c r="EX67" s="432"/>
      <c r="EY67" s="432"/>
      <c r="EZ67" s="432"/>
      <c r="FA67" s="432"/>
      <c r="FB67" s="432"/>
      <c r="FC67" s="432"/>
      <c r="FD67" s="432"/>
      <c r="FE67" s="432"/>
      <c r="FF67" s="432"/>
      <c r="FG67" s="432"/>
      <c r="FH67" s="432"/>
      <c r="FI67" s="432"/>
    </row>
    <row r="68" spans="1:165" s="437" customFormat="1">
      <c r="A68" s="433" t="str">
        <f>Op_Costs!C60</f>
        <v>Other Tenant Services</v>
      </c>
      <c r="B68" s="434" t="str">
        <f>IF(Deal_Overview!$V$17&gt;0,G68/Deal_Overview!$V$17,"")</f>
        <v/>
      </c>
      <c r="C68" s="435">
        <f>Op_Costs!J60</f>
        <v>0.03</v>
      </c>
      <c r="D68" s="698">
        <f>Op_Costs!D60</f>
        <v>0</v>
      </c>
      <c r="E68" s="698">
        <f>Op_Costs!E60</f>
        <v>0</v>
      </c>
      <c r="F68" s="698">
        <f>Op_Costs!F60</f>
        <v>0</v>
      </c>
      <c r="G68" s="434">
        <f>Op_Costs!G60</f>
        <v>0</v>
      </c>
      <c r="H68" s="431">
        <f t="shared" ref="H68:AT68" si="29">G68*(1+$C$67)</f>
        <v>0</v>
      </c>
      <c r="I68" s="431">
        <f t="shared" si="29"/>
        <v>0</v>
      </c>
      <c r="J68" s="431">
        <f t="shared" si="29"/>
        <v>0</v>
      </c>
      <c r="K68" s="431">
        <f t="shared" si="29"/>
        <v>0</v>
      </c>
      <c r="L68" s="431">
        <f t="shared" si="29"/>
        <v>0</v>
      </c>
      <c r="M68" s="431">
        <f t="shared" si="29"/>
        <v>0</v>
      </c>
      <c r="N68" s="431">
        <f t="shared" si="29"/>
        <v>0</v>
      </c>
      <c r="O68" s="431">
        <f t="shared" si="29"/>
        <v>0</v>
      </c>
      <c r="P68" s="431">
        <f t="shared" si="29"/>
        <v>0</v>
      </c>
      <c r="Q68" s="431">
        <f t="shared" si="29"/>
        <v>0</v>
      </c>
      <c r="R68" s="431">
        <f t="shared" si="29"/>
        <v>0</v>
      </c>
      <c r="S68" s="431">
        <f t="shared" si="29"/>
        <v>0</v>
      </c>
      <c r="T68" s="431">
        <f t="shared" si="29"/>
        <v>0</v>
      </c>
      <c r="U68" s="431">
        <f t="shared" si="29"/>
        <v>0</v>
      </c>
      <c r="V68" s="431">
        <f t="shared" si="29"/>
        <v>0</v>
      </c>
      <c r="W68" s="431">
        <f t="shared" si="29"/>
        <v>0</v>
      </c>
      <c r="X68" s="431">
        <f t="shared" si="29"/>
        <v>0</v>
      </c>
      <c r="Y68" s="431">
        <f t="shared" si="29"/>
        <v>0</v>
      </c>
      <c r="Z68" s="431">
        <f t="shared" si="29"/>
        <v>0</v>
      </c>
      <c r="AA68" s="431">
        <f t="shared" si="29"/>
        <v>0</v>
      </c>
      <c r="AB68" s="431">
        <f t="shared" si="29"/>
        <v>0</v>
      </c>
      <c r="AC68" s="431">
        <f t="shared" si="29"/>
        <v>0</v>
      </c>
      <c r="AD68" s="431">
        <f t="shared" si="29"/>
        <v>0</v>
      </c>
      <c r="AE68" s="431">
        <f t="shared" si="29"/>
        <v>0</v>
      </c>
      <c r="AF68" s="431">
        <f t="shared" si="29"/>
        <v>0</v>
      </c>
      <c r="AG68" s="431">
        <f t="shared" si="29"/>
        <v>0</v>
      </c>
      <c r="AH68" s="431">
        <f t="shared" si="29"/>
        <v>0</v>
      </c>
      <c r="AI68" s="431">
        <f t="shared" si="29"/>
        <v>0</v>
      </c>
      <c r="AJ68" s="431">
        <f t="shared" si="29"/>
        <v>0</v>
      </c>
      <c r="AK68" s="431">
        <f t="shared" si="29"/>
        <v>0</v>
      </c>
      <c r="AL68" s="431">
        <f t="shared" si="29"/>
        <v>0</v>
      </c>
      <c r="AM68" s="431">
        <f t="shared" si="29"/>
        <v>0</v>
      </c>
      <c r="AN68" s="431">
        <f t="shared" si="29"/>
        <v>0</v>
      </c>
      <c r="AO68" s="431">
        <f t="shared" si="29"/>
        <v>0</v>
      </c>
      <c r="AP68" s="431">
        <f t="shared" si="29"/>
        <v>0</v>
      </c>
      <c r="AQ68" s="431">
        <f t="shared" si="29"/>
        <v>0</v>
      </c>
      <c r="AR68" s="431">
        <f t="shared" si="29"/>
        <v>0</v>
      </c>
      <c r="AS68" s="431">
        <f t="shared" si="29"/>
        <v>0</v>
      </c>
      <c r="AT68" s="431">
        <f t="shared" si="29"/>
        <v>0</v>
      </c>
      <c r="AU68" s="431"/>
      <c r="AV68" s="431"/>
      <c r="AW68" s="431"/>
      <c r="AX68" s="431"/>
      <c r="AY68" s="431"/>
      <c r="AZ68" s="431"/>
      <c r="BA68" s="431"/>
      <c r="BB68" s="432"/>
      <c r="BC68" s="432"/>
      <c r="BD68" s="432"/>
      <c r="BE68" s="432"/>
      <c r="BF68" s="432"/>
      <c r="BG68" s="432"/>
      <c r="BH68" s="432"/>
      <c r="BI68" s="432"/>
      <c r="BJ68" s="432"/>
      <c r="BK68" s="432"/>
      <c r="BL68" s="432"/>
      <c r="BM68" s="432"/>
      <c r="BN68" s="432"/>
      <c r="BO68" s="432"/>
      <c r="BP68" s="432"/>
      <c r="BQ68" s="432"/>
      <c r="BR68" s="432"/>
      <c r="BS68" s="432"/>
      <c r="BT68" s="432"/>
      <c r="BU68" s="432"/>
      <c r="BV68" s="432"/>
      <c r="BW68" s="432"/>
      <c r="BX68" s="432"/>
      <c r="BY68" s="432"/>
      <c r="BZ68" s="432"/>
      <c r="CA68" s="432"/>
      <c r="CB68" s="432"/>
      <c r="CC68" s="432"/>
      <c r="CD68" s="432"/>
      <c r="CE68" s="432"/>
      <c r="CF68" s="432"/>
      <c r="CG68" s="432"/>
      <c r="CH68" s="432"/>
      <c r="CI68" s="432"/>
      <c r="CJ68" s="432"/>
      <c r="CK68" s="432"/>
      <c r="CL68" s="432"/>
      <c r="CM68" s="432"/>
      <c r="CN68" s="432"/>
      <c r="CO68" s="432"/>
      <c r="CP68" s="432"/>
      <c r="CQ68" s="432"/>
      <c r="CR68" s="432"/>
      <c r="CS68" s="432"/>
      <c r="CT68" s="432"/>
      <c r="CU68" s="432"/>
      <c r="CV68" s="432"/>
      <c r="CW68" s="432"/>
      <c r="CX68" s="432"/>
      <c r="CY68" s="432"/>
      <c r="CZ68" s="432"/>
      <c r="DA68" s="432"/>
      <c r="DB68" s="432"/>
      <c r="DC68" s="432"/>
      <c r="DD68" s="432"/>
      <c r="DE68" s="432"/>
      <c r="DF68" s="432"/>
      <c r="DG68" s="432"/>
      <c r="DH68" s="432"/>
      <c r="DI68" s="432"/>
      <c r="DJ68" s="432"/>
      <c r="DK68" s="432"/>
      <c r="DL68" s="432"/>
      <c r="DM68" s="432"/>
      <c r="DN68" s="432"/>
      <c r="DO68" s="432"/>
      <c r="DP68" s="432"/>
      <c r="DQ68" s="432"/>
      <c r="DR68" s="432"/>
      <c r="DS68" s="432"/>
      <c r="DT68" s="432"/>
      <c r="DU68" s="432"/>
      <c r="DV68" s="432"/>
      <c r="DW68" s="432"/>
      <c r="DX68" s="432"/>
      <c r="DY68" s="432"/>
      <c r="DZ68" s="432"/>
      <c r="EA68" s="432"/>
      <c r="EB68" s="432"/>
      <c r="EC68" s="432"/>
      <c r="ED68" s="432"/>
      <c r="EE68" s="432"/>
      <c r="EF68" s="432"/>
      <c r="EG68" s="432"/>
      <c r="EH68" s="432"/>
      <c r="EI68" s="432"/>
      <c r="EJ68" s="432"/>
      <c r="EK68" s="432"/>
      <c r="EL68" s="432"/>
      <c r="EM68" s="432"/>
      <c r="EN68" s="432"/>
      <c r="EO68" s="432"/>
      <c r="EP68" s="432"/>
      <c r="EQ68" s="432"/>
      <c r="ER68" s="432"/>
      <c r="ES68" s="432"/>
      <c r="ET68" s="432"/>
      <c r="EU68" s="432"/>
      <c r="EV68" s="432"/>
      <c r="EW68" s="432"/>
      <c r="EX68" s="432"/>
      <c r="EY68" s="432"/>
      <c r="EZ68" s="432"/>
      <c r="FA68" s="432"/>
      <c r="FB68" s="432"/>
      <c r="FC68" s="432"/>
      <c r="FD68" s="432"/>
      <c r="FE68" s="432"/>
      <c r="FF68" s="432"/>
      <c r="FG68" s="432"/>
      <c r="FH68" s="432"/>
      <c r="FI68" s="432"/>
    </row>
    <row r="69" spans="1:165" s="456" customFormat="1" ht="13.5" thickBot="1">
      <c r="A69" s="451" t="str">
        <f>Op_Costs!B61</f>
        <v>Tenant Services Subtotal</v>
      </c>
      <c r="B69" s="452" t="str">
        <f>IF(Deal_Overview!$V$17&gt;0,G69/Deal_Overview!$V$17,"")</f>
        <v/>
      </c>
      <c r="C69" s="453"/>
      <c r="D69" s="453"/>
      <c r="E69" s="453"/>
      <c r="F69" s="453"/>
      <c r="G69" s="452">
        <f>SUM(G67:G68)</f>
        <v>0</v>
      </c>
      <c r="H69" s="452">
        <f>SUM(H67:H68)</f>
        <v>0</v>
      </c>
      <c r="I69" s="452">
        <f t="shared" ref="I69:AT69" si="30">SUM(I67:I68)</f>
        <v>0</v>
      </c>
      <c r="J69" s="452">
        <f t="shared" si="30"/>
        <v>0</v>
      </c>
      <c r="K69" s="452">
        <f t="shared" si="30"/>
        <v>0</v>
      </c>
      <c r="L69" s="452">
        <f t="shared" si="30"/>
        <v>0</v>
      </c>
      <c r="M69" s="452">
        <f t="shared" si="30"/>
        <v>0</v>
      </c>
      <c r="N69" s="452">
        <f t="shared" si="30"/>
        <v>0</v>
      </c>
      <c r="O69" s="452">
        <f t="shared" si="30"/>
        <v>0</v>
      </c>
      <c r="P69" s="452">
        <f t="shared" si="30"/>
        <v>0</v>
      </c>
      <c r="Q69" s="452">
        <f t="shared" si="30"/>
        <v>0</v>
      </c>
      <c r="R69" s="452">
        <f t="shared" si="30"/>
        <v>0</v>
      </c>
      <c r="S69" s="452">
        <f t="shared" si="30"/>
        <v>0</v>
      </c>
      <c r="T69" s="452">
        <f t="shared" si="30"/>
        <v>0</v>
      </c>
      <c r="U69" s="452">
        <f t="shared" si="30"/>
        <v>0</v>
      </c>
      <c r="V69" s="452">
        <f t="shared" si="30"/>
        <v>0</v>
      </c>
      <c r="W69" s="452">
        <f t="shared" si="30"/>
        <v>0</v>
      </c>
      <c r="X69" s="452">
        <f t="shared" si="30"/>
        <v>0</v>
      </c>
      <c r="Y69" s="452">
        <f t="shared" si="30"/>
        <v>0</v>
      </c>
      <c r="Z69" s="452">
        <f t="shared" si="30"/>
        <v>0</v>
      </c>
      <c r="AA69" s="452">
        <f t="shared" si="30"/>
        <v>0</v>
      </c>
      <c r="AB69" s="452">
        <f t="shared" si="30"/>
        <v>0</v>
      </c>
      <c r="AC69" s="452">
        <f t="shared" si="30"/>
        <v>0</v>
      </c>
      <c r="AD69" s="452">
        <f t="shared" si="30"/>
        <v>0</v>
      </c>
      <c r="AE69" s="452">
        <f t="shared" si="30"/>
        <v>0</v>
      </c>
      <c r="AF69" s="452">
        <f t="shared" si="30"/>
        <v>0</v>
      </c>
      <c r="AG69" s="452">
        <f t="shared" si="30"/>
        <v>0</v>
      </c>
      <c r="AH69" s="452">
        <f t="shared" si="30"/>
        <v>0</v>
      </c>
      <c r="AI69" s="452">
        <f t="shared" si="30"/>
        <v>0</v>
      </c>
      <c r="AJ69" s="452">
        <f t="shared" si="30"/>
        <v>0</v>
      </c>
      <c r="AK69" s="452">
        <f t="shared" si="30"/>
        <v>0</v>
      </c>
      <c r="AL69" s="452">
        <f t="shared" si="30"/>
        <v>0</v>
      </c>
      <c r="AM69" s="452">
        <f t="shared" si="30"/>
        <v>0</v>
      </c>
      <c r="AN69" s="452">
        <f t="shared" si="30"/>
        <v>0</v>
      </c>
      <c r="AO69" s="452">
        <f t="shared" si="30"/>
        <v>0</v>
      </c>
      <c r="AP69" s="452">
        <f t="shared" si="30"/>
        <v>0</v>
      </c>
      <c r="AQ69" s="452">
        <f t="shared" si="30"/>
        <v>0</v>
      </c>
      <c r="AR69" s="452">
        <f t="shared" si="30"/>
        <v>0</v>
      </c>
      <c r="AS69" s="452">
        <f t="shared" si="30"/>
        <v>0</v>
      </c>
      <c r="AT69" s="452">
        <f t="shared" si="30"/>
        <v>0</v>
      </c>
      <c r="AU69" s="454"/>
      <c r="AV69" s="454"/>
      <c r="AW69" s="454"/>
      <c r="AX69" s="454"/>
      <c r="AY69" s="454"/>
      <c r="AZ69" s="454"/>
      <c r="BA69" s="454"/>
      <c r="BB69" s="455"/>
      <c r="BC69" s="455"/>
      <c r="BD69" s="455"/>
      <c r="BE69" s="455"/>
      <c r="BF69" s="455"/>
      <c r="BG69" s="455"/>
      <c r="BH69" s="455"/>
      <c r="BI69" s="455"/>
      <c r="BJ69" s="455"/>
      <c r="BK69" s="455"/>
      <c r="BL69" s="455"/>
      <c r="BM69" s="455"/>
      <c r="BN69" s="455"/>
      <c r="BO69" s="455"/>
      <c r="BP69" s="455"/>
      <c r="BQ69" s="455"/>
      <c r="BR69" s="455"/>
      <c r="BS69" s="455"/>
      <c r="BT69" s="455"/>
      <c r="BU69" s="455"/>
      <c r="BV69" s="455"/>
      <c r="BW69" s="455"/>
      <c r="BX69" s="455"/>
      <c r="BY69" s="455"/>
      <c r="BZ69" s="455"/>
      <c r="CA69" s="455"/>
      <c r="CB69" s="455"/>
      <c r="CC69" s="455"/>
      <c r="CD69" s="455"/>
      <c r="CE69" s="455"/>
      <c r="CF69" s="455"/>
      <c r="CG69" s="455"/>
      <c r="CH69" s="455"/>
      <c r="CI69" s="455"/>
      <c r="CJ69" s="455"/>
      <c r="CK69" s="455"/>
      <c r="CL69" s="455"/>
      <c r="CM69" s="455"/>
      <c r="CN69" s="455"/>
      <c r="CO69" s="455"/>
      <c r="CP69" s="455"/>
      <c r="CQ69" s="455"/>
      <c r="CR69" s="455"/>
      <c r="CS69" s="455"/>
      <c r="CT69" s="455"/>
      <c r="CU69" s="455"/>
      <c r="CV69" s="455"/>
      <c r="CW69" s="455"/>
      <c r="CX69" s="455"/>
      <c r="CY69" s="455"/>
      <c r="CZ69" s="455"/>
      <c r="DA69" s="455"/>
      <c r="DB69" s="455"/>
      <c r="DC69" s="455"/>
      <c r="DD69" s="455"/>
      <c r="DE69" s="455"/>
      <c r="DF69" s="455"/>
      <c r="DG69" s="455"/>
      <c r="DH69" s="455"/>
      <c r="DI69" s="455"/>
      <c r="DJ69" s="455"/>
      <c r="DK69" s="455"/>
      <c r="DL69" s="455"/>
      <c r="DM69" s="455"/>
      <c r="DN69" s="455"/>
      <c r="DO69" s="455"/>
      <c r="DP69" s="455"/>
      <c r="DQ69" s="455"/>
      <c r="DR69" s="455"/>
      <c r="DS69" s="455"/>
      <c r="DT69" s="455"/>
      <c r="DU69" s="455"/>
      <c r="DV69" s="455"/>
      <c r="DW69" s="455"/>
      <c r="DX69" s="455"/>
      <c r="DY69" s="455"/>
      <c r="DZ69" s="455"/>
      <c r="EA69" s="455"/>
      <c r="EB69" s="455"/>
      <c r="EC69" s="455"/>
      <c r="ED69" s="455"/>
      <c r="EE69" s="455"/>
      <c r="EF69" s="455"/>
      <c r="EG69" s="455"/>
      <c r="EH69" s="455"/>
      <c r="EI69" s="455"/>
      <c r="EJ69" s="455"/>
      <c r="EK69" s="455"/>
      <c r="EL69" s="455"/>
      <c r="EM69" s="455"/>
      <c r="EN69" s="455"/>
      <c r="EO69" s="455"/>
      <c r="EP69" s="455"/>
      <c r="EQ69" s="455"/>
      <c r="ER69" s="455"/>
      <c r="ES69" s="455"/>
      <c r="ET69" s="455"/>
      <c r="EU69" s="455"/>
      <c r="EV69" s="455"/>
      <c r="EW69" s="455"/>
      <c r="EX69" s="455"/>
      <c r="EY69" s="455"/>
      <c r="EZ69" s="455"/>
      <c r="FA69" s="455"/>
      <c r="FB69" s="455"/>
      <c r="FC69" s="455"/>
      <c r="FD69" s="455"/>
      <c r="FE69" s="455"/>
      <c r="FF69" s="455"/>
      <c r="FG69" s="455"/>
      <c r="FH69" s="455"/>
      <c r="FI69" s="455"/>
    </row>
    <row r="70" spans="1:165" s="460" customFormat="1" ht="13.5" thickTop="1">
      <c r="A70" s="457" t="str">
        <f>Op_Costs!B62</f>
        <v>Grand Total Operating Costs</v>
      </c>
      <c r="B70" s="458" t="e">
        <f>B69+B66+B62+B57+B49+B37+B32+B26+B21</f>
        <v>#VALUE!</v>
      </c>
      <c r="C70" s="459"/>
      <c r="D70" s="458">
        <f t="shared" ref="D70:AT70" si="31">D69+D66+D62+D57+D49+D37+D32+D26+D21</f>
        <v>0</v>
      </c>
      <c r="E70" s="458">
        <f t="shared" si="31"/>
        <v>0</v>
      </c>
      <c r="F70" s="458">
        <f t="shared" si="31"/>
        <v>0</v>
      </c>
      <c r="G70" s="458">
        <f t="shared" si="31"/>
        <v>0</v>
      </c>
      <c r="H70" s="458">
        <f t="shared" si="31"/>
        <v>0</v>
      </c>
      <c r="I70" s="458">
        <f t="shared" si="31"/>
        <v>0</v>
      </c>
      <c r="J70" s="458">
        <f t="shared" si="31"/>
        <v>0</v>
      </c>
      <c r="K70" s="458">
        <f t="shared" si="31"/>
        <v>0</v>
      </c>
      <c r="L70" s="458">
        <f t="shared" si="31"/>
        <v>0</v>
      </c>
      <c r="M70" s="458">
        <f t="shared" si="31"/>
        <v>0</v>
      </c>
      <c r="N70" s="458">
        <f t="shared" si="31"/>
        <v>0</v>
      </c>
      <c r="O70" s="458">
        <f t="shared" si="31"/>
        <v>0</v>
      </c>
      <c r="P70" s="458">
        <f t="shared" si="31"/>
        <v>0</v>
      </c>
      <c r="Q70" s="458">
        <f t="shared" si="31"/>
        <v>0</v>
      </c>
      <c r="R70" s="458">
        <f t="shared" si="31"/>
        <v>0</v>
      </c>
      <c r="S70" s="458">
        <f t="shared" si="31"/>
        <v>0</v>
      </c>
      <c r="T70" s="458">
        <f t="shared" si="31"/>
        <v>0</v>
      </c>
      <c r="U70" s="458">
        <f t="shared" si="31"/>
        <v>0</v>
      </c>
      <c r="V70" s="458">
        <f t="shared" si="31"/>
        <v>0</v>
      </c>
      <c r="W70" s="458">
        <f t="shared" si="31"/>
        <v>0</v>
      </c>
      <c r="X70" s="458">
        <f t="shared" si="31"/>
        <v>0</v>
      </c>
      <c r="Y70" s="458">
        <f t="shared" si="31"/>
        <v>0</v>
      </c>
      <c r="Z70" s="458">
        <f t="shared" si="31"/>
        <v>0</v>
      </c>
      <c r="AA70" s="458">
        <f t="shared" si="31"/>
        <v>0</v>
      </c>
      <c r="AB70" s="458">
        <f t="shared" si="31"/>
        <v>0</v>
      </c>
      <c r="AC70" s="458">
        <f t="shared" si="31"/>
        <v>0</v>
      </c>
      <c r="AD70" s="458">
        <f t="shared" si="31"/>
        <v>0</v>
      </c>
      <c r="AE70" s="458">
        <f t="shared" si="31"/>
        <v>0</v>
      </c>
      <c r="AF70" s="458">
        <f t="shared" si="31"/>
        <v>0</v>
      </c>
      <c r="AG70" s="458">
        <f t="shared" si="31"/>
        <v>0</v>
      </c>
      <c r="AH70" s="458">
        <f t="shared" si="31"/>
        <v>0</v>
      </c>
      <c r="AI70" s="458">
        <f t="shared" si="31"/>
        <v>0</v>
      </c>
      <c r="AJ70" s="458">
        <f t="shared" si="31"/>
        <v>0</v>
      </c>
      <c r="AK70" s="458">
        <f t="shared" si="31"/>
        <v>0</v>
      </c>
      <c r="AL70" s="458">
        <f t="shared" si="31"/>
        <v>0</v>
      </c>
      <c r="AM70" s="458">
        <f t="shared" si="31"/>
        <v>0</v>
      </c>
      <c r="AN70" s="458">
        <f t="shared" si="31"/>
        <v>0</v>
      </c>
      <c r="AO70" s="458">
        <f t="shared" si="31"/>
        <v>0</v>
      </c>
      <c r="AP70" s="458">
        <f t="shared" si="31"/>
        <v>0</v>
      </c>
      <c r="AQ70" s="458">
        <f t="shared" si="31"/>
        <v>0</v>
      </c>
      <c r="AR70" s="458">
        <f t="shared" si="31"/>
        <v>0</v>
      </c>
      <c r="AS70" s="458">
        <f t="shared" si="31"/>
        <v>0</v>
      </c>
      <c r="AT70" s="458">
        <f t="shared" si="31"/>
        <v>0</v>
      </c>
      <c r="AU70" s="454"/>
      <c r="AV70" s="454"/>
      <c r="AW70" s="454"/>
      <c r="AX70" s="454"/>
      <c r="AY70" s="454"/>
      <c r="AZ70" s="454"/>
      <c r="BA70" s="454"/>
      <c r="BB70" s="455"/>
      <c r="BC70" s="455"/>
      <c r="BD70" s="455"/>
      <c r="BE70" s="455"/>
      <c r="BF70" s="455"/>
      <c r="BG70" s="455"/>
      <c r="BH70" s="455"/>
      <c r="BI70" s="455"/>
      <c r="BJ70" s="455"/>
      <c r="BK70" s="455"/>
      <c r="BL70" s="455"/>
      <c r="BM70" s="455"/>
      <c r="BN70" s="455"/>
      <c r="BO70" s="455"/>
      <c r="BP70" s="455"/>
      <c r="BQ70" s="455"/>
      <c r="BR70" s="455"/>
      <c r="BS70" s="455"/>
      <c r="BT70" s="455"/>
      <c r="BU70" s="455"/>
      <c r="BV70" s="455"/>
      <c r="BW70" s="455"/>
      <c r="BX70" s="455"/>
      <c r="BY70" s="455"/>
      <c r="BZ70" s="455"/>
      <c r="CA70" s="455"/>
      <c r="CB70" s="455"/>
      <c r="CC70" s="455"/>
      <c r="CD70" s="455"/>
      <c r="CE70" s="455"/>
      <c r="CF70" s="455"/>
      <c r="CG70" s="455"/>
      <c r="CH70" s="455"/>
      <c r="CI70" s="455"/>
      <c r="CJ70" s="455"/>
      <c r="CK70" s="455"/>
      <c r="CL70" s="455"/>
      <c r="CM70" s="455"/>
      <c r="CN70" s="455"/>
      <c r="CO70" s="455"/>
      <c r="CP70" s="455"/>
      <c r="CQ70" s="455"/>
      <c r="CR70" s="455"/>
      <c r="CS70" s="455"/>
      <c r="CT70" s="455"/>
      <c r="CU70" s="455"/>
      <c r="CV70" s="455"/>
      <c r="CW70" s="455"/>
      <c r="CX70" s="455"/>
      <c r="CY70" s="455"/>
      <c r="CZ70" s="455"/>
      <c r="DA70" s="455"/>
      <c r="DB70" s="455"/>
      <c r="DC70" s="455"/>
      <c r="DD70" s="455"/>
      <c r="DE70" s="455"/>
      <c r="DF70" s="455"/>
      <c r="DG70" s="455"/>
      <c r="DH70" s="455"/>
      <c r="DI70" s="455"/>
      <c r="DJ70" s="455"/>
      <c r="DK70" s="455"/>
      <c r="DL70" s="455"/>
      <c r="DM70" s="455"/>
      <c r="DN70" s="455"/>
      <c r="DO70" s="455"/>
      <c r="DP70" s="455"/>
      <c r="DQ70" s="455"/>
      <c r="DR70" s="455"/>
      <c r="DS70" s="455"/>
      <c r="DT70" s="455"/>
      <c r="DU70" s="455"/>
      <c r="DV70" s="455"/>
      <c r="DW70" s="455"/>
      <c r="DX70" s="455"/>
      <c r="DY70" s="455"/>
      <c r="DZ70" s="455"/>
      <c r="EA70" s="455"/>
      <c r="EB70" s="455"/>
      <c r="EC70" s="455"/>
      <c r="ED70" s="455"/>
      <c r="EE70" s="455"/>
      <c r="EF70" s="455"/>
      <c r="EG70" s="455"/>
      <c r="EH70" s="455"/>
      <c r="EI70" s="455"/>
      <c r="EJ70" s="455"/>
      <c r="EK70" s="455"/>
      <c r="EL70" s="455"/>
      <c r="EM70" s="455"/>
      <c r="EN70" s="455"/>
      <c r="EO70" s="455"/>
      <c r="EP70" s="455"/>
      <c r="EQ70" s="455"/>
      <c r="ER70" s="455"/>
      <c r="ES70" s="455"/>
      <c r="ET70" s="455"/>
      <c r="EU70" s="455"/>
      <c r="EV70" s="455"/>
      <c r="EW70" s="455"/>
      <c r="EX70" s="455"/>
      <c r="EY70" s="455"/>
      <c r="EZ70" s="455"/>
      <c r="FA70" s="455"/>
      <c r="FB70" s="455"/>
      <c r="FC70" s="455"/>
      <c r="FD70" s="455"/>
      <c r="FE70" s="455"/>
      <c r="FF70" s="455"/>
      <c r="FG70" s="455"/>
      <c r="FH70" s="455"/>
      <c r="FI70" s="455"/>
    </row>
    <row r="71" spans="1:165" s="298" customFormat="1" ht="9" customHeight="1">
      <c r="A71" s="429"/>
      <c r="B71" s="297"/>
      <c r="C71" s="430"/>
      <c r="D71" s="430"/>
      <c r="E71" s="430"/>
      <c r="F71" s="430"/>
      <c r="G71" s="297"/>
      <c r="H71" s="297"/>
      <c r="I71" s="297"/>
      <c r="J71" s="297"/>
      <c r="K71" s="297"/>
      <c r="L71" s="297"/>
      <c r="M71" s="297"/>
      <c r="N71" s="297"/>
      <c r="O71" s="297"/>
      <c r="P71" s="297"/>
      <c r="Q71" s="297"/>
      <c r="R71" s="297"/>
      <c r="S71" s="297"/>
      <c r="T71" s="297"/>
      <c r="U71" s="297"/>
      <c r="V71" s="297"/>
      <c r="W71" s="297"/>
      <c r="X71" s="297"/>
      <c r="Y71" s="297"/>
      <c r="Z71" s="297"/>
      <c r="AA71" s="297"/>
      <c r="AB71" s="297"/>
      <c r="AC71" s="297"/>
      <c r="AD71" s="297"/>
      <c r="AE71" s="297"/>
      <c r="AF71" s="297"/>
      <c r="AG71" s="297"/>
      <c r="AH71" s="297"/>
      <c r="AI71" s="297"/>
      <c r="AJ71" s="297"/>
      <c r="AK71" s="297"/>
      <c r="AL71" s="297"/>
      <c r="AM71" s="297"/>
      <c r="AN71" s="297"/>
      <c r="AO71" s="297"/>
      <c r="AP71" s="297"/>
      <c r="AQ71" s="297"/>
      <c r="AR71" s="297"/>
      <c r="AS71" s="297"/>
      <c r="AT71" s="297"/>
      <c r="AU71" s="431"/>
      <c r="AV71" s="431"/>
      <c r="AW71" s="431"/>
      <c r="AX71" s="431"/>
      <c r="AY71" s="431"/>
      <c r="AZ71" s="431"/>
      <c r="BA71" s="431"/>
      <c r="BB71" s="432"/>
      <c r="BC71" s="432"/>
      <c r="BD71" s="432"/>
      <c r="BE71" s="432"/>
      <c r="BF71" s="432"/>
      <c r="BG71" s="432"/>
      <c r="BH71" s="432"/>
      <c r="BI71" s="432"/>
      <c r="BJ71" s="432"/>
      <c r="BK71" s="432"/>
      <c r="BL71" s="432"/>
      <c r="BM71" s="432"/>
      <c r="BN71" s="432"/>
      <c r="BO71" s="432"/>
      <c r="BP71" s="432"/>
      <c r="BQ71" s="432"/>
      <c r="BR71" s="432"/>
      <c r="BS71" s="432"/>
      <c r="BT71" s="432"/>
      <c r="BU71" s="432"/>
      <c r="BV71" s="432"/>
      <c r="BW71" s="432"/>
      <c r="BX71" s="432"/>
      <c r="BY71" s="432"/>
      <c r="BZ71" s="432"/>
      <c r="CA71" s="432"/>
      <c r="CB71" s="432"/>
      <c r="CC71" s="432"/>
      <c r="CD71" s="432"/>
      <c r="CE71" s="432"/>
      <c r="CF71" s="432"/>
      <c r="CG71" s="432"/>
      <c r="CH71" s="432"/>
      <c r="CI71" s="432"/>
      <c r="CJ71" s="432"/>
      <c r="CK71" s="432"/>
      <c r="CL71" s="432"/>
      <c r="CM71" s="432"/>
      <c r="CN71" s="432"/>
      <c r="CO71" s="432"/>
      <c r="CP71" s="432"/>
      <c r="CQ71" s="432"/>
      <c r="CR71" s="432"/>
      <c r="CS71" s="432"/>
      <c r="CT71" s="432"/>
      <c r="CU71" s="432"/>
      <c r="CV71" s="432"/>
      <c r="CW71" s="432"/>
      <c r="CX71" s="432"/>
      <c r="CY71" s="432"/>
      <c r="CZ71" s="432"/>
      <c r="DA71" s="432"/>
      <c r="DB71" s="432"/>
      <c r="DC71" s="432"/>
      <c r="DD71" s="432"/>
      <c r="DE71" s="432"/>
      <c r="DF71" s="432"/>
      <c r="DG71" s="432"/>
      <c r="DH71" s="432"/>
      <c r="DI71" s="432"/>
      <c r="DJ71" s="432"/>
      <c r="DK71" s="432"/>
      <c r="DL71" s="432"/>
      <c r="DM71" s="432"/>
      <c r="DN71" s="432"/>
      <c r="DO71" s="432"/>
      <c r="DP71" s="432"/>
      <c r="DQ71" s="432"/>
      <c r="DR71" s="432"/>
      <c r="DS71" s="432"/>
      <c r="DT71" s="432"/>
      <c r="DU71" s="432"/>
      <c r="DV71" s="432"/>
      <c r="DW71" s="432"/>
      <c r="DX71" s="432"/>
      <c r="DY71" s="432"/>
      <c r="DZ71" s="432"/>
      <c r="EA71" s="432"/>
      <c r="EB71" s="432"/>
      <c r="EC71" s="432"/>
      <c r="ED71" s="432"/>
      <c r="EE71" s="432"/>
      <c r="EF71" s="432"/>
      <c r="EG71" s="432"/>
      <c r="EH71" s="432"/>
      <c r="EI71" s="432"/>
      <c r="EJ71" s="432"/>
      <c r="EK71" s="432"/>
      <c r="EL71" s="432"/>
      <c r="EM71" s="432"/>
      <c r="EN71" s="432"/>
      <c r="EO71" s="432"/>
      <c r="EP71" s="432"/>
      <c r="EQ71" s="432"/>
      <c r="ER71" s="432"/>
      <c r="ES71" s="432"/>
      <c r="ET71" s="432"/>
      <c r="EU71" s="432"/>
      <c r="EV71" s="432"/>
      <c r="EW71" s="432"/>
      <c r="EX71" s="432"/>
      <c r="EY71" s="432"/>
      <c r="EZ71" s="432"/>
      <c r="FA71" s="432"/>
      <c r="FB71" s="432"/>
      <c r="FC71" s="432"/>
      <c r="FD71" s="432"/>
      <c r="FE71" s="432"/>
      <c r="FF71" s="432"/>
      <c r="FG71" s="432"/>
      <c r="FH71" s="432"/>
      <c r="FI71" s="432"/>
    </row>
    <row r="72" spans="1:165" s="298" customFormat="1">
      <c r="A72" s="429" t="s">
        <v>621</v>
      </c>
      <c r="B72" s="297"/>
      <c r="C72" s="430"/>
      <c r="D72" s="297">
        <f>D10-D70</f>
        <v>0</v>
      </c>
      <c r="E72" s="297">
        <f>E10-E70</f>
        <v>0</v>
      </c>
      <c r="F72" s="297">
        <f>F10-F70</f>
        <v>0</v>
      </c>
      <c r="G72" s="297">
        <f>G10-G70</f>
        <v>0</v>
      </c>
      <c r="H72" s="297">
        <f t="shared" ref="H72:AT72" si="32">H10-H70</f>
        <v>0</v>
      </c>
      <c r="I72" s="297">
        <f t="shared" si="32"/>
        <v>0</v>
      </c>
      <c r="J72" s="297">
        <f t="shared" si="32"/>
        <v>0</v>
      </c>
      <c r="K72" s="297">
        <f t="shared" si="32"/>
        <v>0</v>
      </c>
      <c r="L72" s="297">
        <f t="shared" si="32"/>
        <v>0</v>
      </c>
      <c r="M72" s="297">
        <f t="shared" si="32"/>
        <v>0</v>
      </c>
      <c r="N72" s="297">
        <f t="shared" si="32"/>
        <v>0</v>
      </c>
      <c r="O72" s="297">
        <f t="shared" si="32"/>
        <v>0</v>
      </c>
      <c r="P72" s="297">
        <f t="shared" si="32"/>
        <v>0</v>
      </c>
      <c r="Q72" s="297">
        <f t="shared" si="32"/>
        <v>0</v>
      </c>
      <c r="R72" s="297">
        <f t="shared" si="32"/>
        <v>0</v>
      </c>
      <c r="S72" s="297">
        <f t="shared" si="32"/>
        <v>0</v>
      </c>
      <c r="T72" s="297">
        <f t="shared" si="32"/>
        <v>0</v>
      </c>
      <c r="U72" s="297">
        <f t="shared" si="32"/>
        <v>0</v>
      </c>
      <c r="V72" s="297">
        <f t="shared" si="32"/>
        <v>0</v>
      </c>
      <c r="W72" s="297">
        <f t="shared" si="32"/>
        <v>0</v>
      </c>
      <c r="X72" s="297">
        <f t="shared" si="32"/>
        <v>0</v>
      </c>
      <c r="Y72" s="297">
        <f t="shared" si="32"/>
        <v>0</v>
      </c>
      <c r="Z72" s="297">
        <f t="shared" si="32"/>
        <v>0</v>
      </c>
      <c r="AA72" s="297">
        <f t="shared" si="32"/>
        <v>0</v>
      </c>
      <c r="AB72" s="297">
        <f t="shared" si="32"/>
        <v>0</v>
      </c>
      <c r="AC72" s="297">
        <f t="shared" si="32"/>
        <v>0</v>
      </c>
      <c r="AD72" s="297">
        <f t="shared" si="32"/>
        <v>0</v>
      </c>
      <c r="AE72" s="297">
        <f t="shared" si="32"/>
        <v>0</v>
      </c>
      <c r="AF72" s="297">
        <f t="shared" si="32"/>
        <v>0</v>
      </c>
      <c r="AG72" s="297">
        <f t="shared" si="32"/>
        <v>0</v>
      </c>
      <c r="AH72" s="297">
        <f t="shared" si="32"/>
        <v>0</v>
      </c>
      <c r="AI72" s="297">
        <f t="shared" si="32"/>
        <v>0</v>
      </c>
      <c r="AJ72" s="297">
        <f t="shared" si="32"/>
        <v>0</v>
      </c>
      <c r="AK72" s="297">
        <f t="shared" si="32"/>
        <v>0</v>
      </c>
      <c r="AL72" s="297">
        <f t="shared" si="32"/>
        <v>0</v>
      </c>
      <c r="AM72" s="297">
        <f t="shared" si="32"/>
        <v>0</v>
      </c>
      <c r="AN72" s="297">
        <f t="shared" si="32"/>
        <v>0</v>
      </c>
      <c r="AO72" s="297">
        <f t="shared" si="32"/>
        <v>0</v>
      </c>
      <c r="AP72" s="297">
        <f t="shared" si="32"/>
        <v>0</v>
      </c>
      <c r="AQ72" s="297">
        <f t="shared" si="32"/>
        <v>0</v>
      </c>
      <c r="AR72" s="297">
        <f t="shared" si="32"/>
        <v>0</v>
      </c>
      <c r="AS72" s="297">
        <f t="shared" si="32"/>
        <v>0</v>
      </c>
      <c r="AT72" s="297">
        <f t="shared" si="32"/>
        <v>0</v>
      </c>
      <c r="AU72" s="431"/>
      <c r="AV72" s="431"/>
      <c r="AW72" s="431"/>
      <c r="AX72" s="431"/>
      <c r="AY72" s="431"/>
      <c r="AZ72" s="431"/>
      <c r="BA72" s="431"/>
      <c r="BB72" s="432"/>
      <c r="BC72" s="432"/>
      <c r="BD72" s="432"/>
      <c r="BE72" s="432"/>
      <c r="BF72" s="432"/>
      <c r="BG72" s="432"/>
      <c r="BH72" s="432"/>
      <c r="BI72" s="432"/>
      <c r="BJ72" s="432"/>
      <c r="BK72" s="432"/>
      <c r="BL72" s="432"/>
      <c r="BM72" s="432"/>
      <c r="BN72" s="432"/>
      <c r="BO72" s="432"/>
      <c r="BP72" s="432"/>
      <c r="BQ72" s="432"/>
      <c r="BR72" s="432"/>
      <c r="BS72" s="432"/>
      <c r="BT72" s="432"/>
      <c r="BU72" s="432"/>
      <c r="BV72" s="432"/>
      <c r="BW72" s="432"/>
      <c r="BX72" s="432"/>
      <c r="BY72" s="432"/>
      <c r="BZ72" s="432"/>
      <c r="CA72" s="432"/>
      <c r="CB72" s="432"/>
      <c r="CC72" s="432"/>
      <c r="CD72" s="432"/>
      <c r="CE72" s="432"/>
      <c r="CF72" s="432"/>
      <c r="CG72" s="432"/>
      <c r="CH72" s="432"/>
      <c r="CI72" s="432"/>
      <c r="CJ72" s="432"/>
      <c r="CK72" s="432"/>
      <c r="CL72" s="432"/>
      <c r="CM72" s="432"/>
      <c r="CN72" s="432"/>
      <c r="CO72" s="432"/>
      <c r="CP72" s="432"/>
      <c r="CQ72" s="432"/>
      <c r="CR72" s="432"/>
      <c r="CS72" s="432"/>
      <c r="CT72" s="432"/>
      <c r="CU72" s="432"/>
      <c r="CV72" s="432"/>
      <c r="CW72" s="432"/>
      <c r="CX72" s="432"/>
      <c r="CY72" s="432"/>
      <c r="CZ72" s="432"/>
      <c r="DA72" s="432"/>
      <c r="DB72" s="432"/>
      <c r="DC72" s="432"/>
      <c r="DD72" s="432"/>
      <c r="DE72" s="432"/>
      <c r="DF72" s="432"/>
      <c r="DG72" s="432"/>
      <c r="DH72" s="432"/>
      <c r="DI72" s="432"/>
      <c r="DJ72" s="432"/>
      <c r="DK72" s="432"/>
      <c r="DL72" s="432"/>
      <c r="DM72" s="432"/>
      <c r="DN72" s="432"/>
      <c r="DO72" s="432"/>
      <c r="DP72" s="432"/>
      <c r="DQ72" s="432"/>
      <c r="DR72" s="432"/>
      <c r="DS72" s="432"/>
      <c r="DT72" s="432"/>
      <c r="DU72" s="432"/>
      <c r="DV72" s="432"/>
      <c r="DW72" s="432"/>
      <c r="DX72" s="432"/>
      <c r="DY72" s="432"/>
      <c r="DZ72" s="432"/>
      <c r="EA72" s="432"/>
      <c r="EB72" s="432"/>
      <c r="EC72" s="432"/>
      <c r="ED72" s="432"/>
      <c r="EE72" s="432"/>
      <c r="EF72" s="432"/>
      <c r="EG72" s="432"/>
      <c r="EH72" s="432"/>
      <c r="EI72" s="432"/>
      <c r="EJ72" s="432"/>
      <c r="EK72" s="432"/>
      <c r="EL72" s="432"/>
      <c r="EM72" s="432"/>
      <c r="EN72" s="432"/>
      <c r="EO72" s="432"/>
      <c r="EP72" s="432"/>
      <c r="EQ72" s="432"/>
      <c r="ER72" s="432"/>
      <c r="ES72" s="432"/>
      <c r="ET72" s="432"/>
      <c r="EU72" s="432"/>
      <c r="EV72" s="432"/>
      <c r="EW72" s="432"/>
      <c r="EX72" s="432"/>
      <c r="EY72" s="432"/>
      <c r="EZ72" s="432"/>
      <c r="FA72" s="432"/>
      <c r="FB72" s="432"/>
      <c r="FC72" s="432"/>
      <c r="FD72" s="432"/>
      <c r="FE72" s="432"/>
      <c r="FF72" s="432"/>
      <c r="FG72" s="432"/>
      <c r="FH72" s="432"/>
      <c r="FI72" s="432"/>
    </row>
    <row r="73" spans="1:165" s="298" customFormat="1" ht="9" customHeight="1">
      <c r="A73" s="429"/>
      <c r="B73" s="297"/>
      <c r="C73" s="430"/>
      <c r="D73" s="430"/>
      <c r="E73" s="430"/>
      <c r="F73" s="430"/>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M73" s="297"/>
      <c r="AN73" s="297"/>
      <c r="AO73" s="297"/>
      <c r="AP73" s="297"/>
      <c r="AQ73" s="297"/>
      <c r="AR73" s="297"/>
      <c r="AS73" s="297"/>
      <c r="AT73" s="297"/>
      <c r="AU73" s="431"/>
      <c r="AV73" s="431"/>
      <c r="AW73" s="431"/>
      <c r="AX73" s="431"/>
      <c r="AY73" s="431"/>
      <c r="AZ73" s="431"/>
      <c r="BA73" s="431"/>
      <c r="BB73" s="432"/>
      <c r="BC73" s="432"/>
      <c r="BD73" s="432"/>
      <c r="BE73" s="432"/>
      <c r="BF73" s="432"/>
      <c r="BG73" s="432"/>
      <c r="BH73" s="432"/>
      <c r="BI73" s="432"/>
      <c r="BJ73" s="432"/>
      <c r="BK73" s="432"/>
      <c r="BL73" s="432"/>
      <c r="BM73" s="432"/>
      <c r="BN73" s="432"/>
      <c r="BO73" s="432"/>
      <c r="BP73" s="432"/>
      <c r="BQ73" s="432"/>
      <c r="BR73" s="432"/>
      <c r="BS73" s="432"/>
      <c r="BT73" s="432"/>
      <c r="BU73" s="432"/>
      <c r="BV73" s="432"/>
      <c r="BW73" s="432"/>
      <c r="BX73" s="432"/>
      <c r="BY73" s="432"/>
      <c r="BZ73" s="432"/>
      <c r="CA73" s="432"/>
      <c r="CB73" s="432"/>
      <c r="CC73" s="432"/>
      <c r="CD73" s="432"/>
      <c r="CE73" s="432"/>
      <c r="CF73" s="432"/>
      <c r="CG73" s="432"/>
      <c r="CH73" s="432"/>
      <c r="CI73" s="432"/>
      <c r="CJ73" s="432"/>
      <c r="CK73" s="432"/>
      <c r="CL73" s="432"/>
      <c r="CM73" s="432"/>
      <c r="CN73" s="432"/>
      <c r="CO73" s="432"/>
      <c r="CP73" s="432"/>
      <c r="CQ73" s="432"/>
      <c r="CR73" s="432"/>
      <c r="CS73" s="432"/>
      <c r="CT73" s="432"/>
      <c r="CU73" s="432"/>
      <c r="CV73" s="432"/>
      <c r="CW73" s="432"/>
      <c r="CX73" s="432"/>
      <c r="CY73" s="432"/>
      <c r="CZ73" s="432"/>
      <c r="DA73" s="432"/>
      <c r="DB73" s="432"/>
      <c r="DC73" s="432"/>
      <c r="DD73" s="432"/>
      <c r="DE73" s="432"/>
      <c r="DF73" s="432"/>
      <c r="DG73" s="432"/>
      <c r="DH73" s="432"/>
      <c r="DI73" s="432"/>
      <c r="DJ73" s="432"/>
      <c r="DK73" s="432"/>
      <c r="DL73" s="432"/>
      <c r="DM73" s="432"/>
      <c r="DN73" s="432"/>
      <c r="DO73" s="432"/>
      <c r="DP73" s="432"/>
      <c r="DQ73" s="432"/>
      <c r="DR73" s="432"/>
      <c r="DS73" s="432"/>
      <c r="DT73" s="432"/>
      <c r="DU73" s="432"/>
      <c r="DV73" s="432"/>
      <c r="DW73" s="432"/>
      <c r="DX73" s="432"/>
      <c r="DY73" s="432"/>
      <c r="DZ73" s="432"/>
      <c r="EA73" s="432"/>
      <c r="EB73" s="432"/>
      <c r="EC73" s="432"/>
      <c r="ED73" s="432"/>
      <c r="EE73" s="432"/>
      <c r="EF73" s="432"/>
      <c r="EG73" s="432"/>
      <c r="EH73" s="432"/>
      <c r="EI73" s="432"/>
      <c r="EJ73" s="432"/>
      <c r="EK73" s="432"/>
      <c r="EL73" s="432"/>
      <c r="EM73" s="432"/>
      <c r="EN73" s="432"/>
      <c r="EO73" s="432"/>
      <c r="EP73" s="432"/>
      <c r="EQ73" s="432"/>
      <c r="ER73" s="432"/>
      <c r="ES73" s="432"/>
      <c r="ET73" s="432"/>
      <c r="EU73" s="432"/>
      <c r="EV73" s="432"/>
      <c r="EW73" s="432"/>
      <c r="EX73" s="432"/>
      <c r="EY73" s="432"/>
      <c r="EZ73" s="432"/>
      <c r="FA73" s="432"/>
      <c r="FB73" s="432"/>
      <c r="FC73" s="432"/>
      <c r="FD73" s="432"/>
      <c r="FE73" s="432"/>
      <c r="FF73" s="432"/>
      <c r="FG73" s="432"/>
      <c r="FH73" s="432"/>
      <c r="FI73" s="432"/>
    </row>
    <row r="74" spans="1:165" s="298" customFormat="1">
      <c r="A74" s="429" t="s">
        <v>789</v>
      </c>
      <c r="B74" s="297"/>
      <c r="C74" s="430"/>
      <c r="D74" s="600">
        <f ca="1">Sources!I24</f>
        <v>0</v>
      </c>
      <c r="E74" s="600">
        <f ca="1">D74</f>
        <v>0</v>
      </c>
      <c r="F74" s="600">
        <f ca="1">E74</f>
        <v>0</v>
      </c>
      <c r="G74" s="889">
        <f>Sources!$J$70</f>
        <v>0</v>
      </c>
      <c r="H74" s="889">
        <f>Sources!$J$70</f>
        <v>0</v>
      </c>
      <c r="I74" s="889">
        <f>Sources!$J$70</f>
        <v>0</v>
      </c>
      <c r="J74" s="889">
        <f>Sources!$J$70</f>
        <v>0</v>
      </c>
      <c r="K74" s="889">
        <f>Sources!$J$70</f>
        <v>0</v>
      </c>
      <c r="L74" s="889">
        <f>Sources!$J$70</f>
        <v>0</v>
      </c>
      <c r="M74" s="889">
        <f>Sources!$J$70</f>
        <v>0</v>
      </c>
      <c r="N74" s="889">
        <f>Sources!$J$70</f>
        <v>0</v>
      </c>
      <c r="O74" s="889">
        <f>Sources!$J$70</f>
        <v>0</v>
      </c>
      <c r="P74" s="889">
        <f>Sources!$J$70</f>
        <v>0</v>
      </c>
      <c r="Q74" s="889">
        <f>Sources!$J$70</f>
        <v>0</v>
      </c>
      <c r="R74" s="889">
        <f>Sources!$J$70</f>
        <v>0</v>
      </c>
      <c r="S74" s="889">
        <f>Sources!$J$70</f>
        <v>0</v>
      </c>
      <c r="T74" s="889">
        <f>Sources!$J$70</f>
        <v>0</v>
      </c>
      <c r="U74" s="889">
        <f>Sources!$J$70</f>
        <v>0</v>
      </c>
      <c r="V74" s="889">
        <f>Sources!$J$70</f>
        <v>0</v>
      </c>
      <c r="W74" s="889">
        <f>Sources!$J$70</f>
        <v>0</v>
      </c>
      <c r="X74" s="889">
        <f>Sources!$J$70</f>
        <v>0</v>
      </c>
      <c r="Y74" s="889">
        <f>Sources!$J$70</f>
        <v>0</v>
      </c>
      <c r="Z74" s="889">
        <f>Sources!$J$70</f>
        <v>0</v>
      </c>
      <c r="AA74" s="889">
        <f>Sources!$J$70</f>
        <v>0</v>
      </c>
      <c r="AB74" s="889">
        <f>Sources!$J$70</f>
        <v>0</v>
      </c>
      <c r="AC74" s="889">
        <f>Sources!$J$70</f>
        <v>0</v>
      </c>
      <c r="AD74" s="889">
        <f>Sources!$J$70</f>
        <v>0</v>
      </c>
      <c r="AE74" s="889">
        <f>Sources!$J$70</f>
        <v>0</v>
      </c>
      <c r="AF74" s="889">
        <f>Sources!$J$70</f>
        <v>0</v>
      </c>
      <c r="AG74" s="889">
        <f>Sources!$J$70</f>
        <v>0</v>
      </c>
      <c r="AH74" s="889">
        <f>Sources!$J$70</f>
        <v>0</v>
      </c>
      <c r="AI74" s="889">
        <f>Sources!$J$70</f>
        <v>0</v>
      </c>
      <c r="AJ74" s="889">
        <f>Sources!$J$70</f>
        <v>0</v>
      </c>
      <c r="AK74" s="889">
        <f>Sources!$J$70</f>
        <v>0</v>
      </c>
      <c r="AL74" s="889">
        <f>Sources!$J$70</f>
        <v>0</v>
      </c>
      <c r="AM74" s="889">
        <f>Sources!$J$70</f>
        <v>0</v>
      </c>
      <c r="AN74" s="889">
        <f>Sources!$J$70</f>
        <v>0</v>
      </c>
      <c r="AO74" s="889">
        <f>Sources!$J$70</f>
        <v>0</v>
      </c>
      <c r="AP74" s="889">
        <f>Sources!$J$70</f>
        <v>0</v>
      </c>
      <c r="AQ74" s="889">
        <f>Sources!$J$70</f>
        <v>0</v>
      </c>
      <c r="AR74" s="889">
        <f>Sources!$J$70</f>
        <v>0</v>
      </c>
      <c r="AS74" s="889">
        <f>Sources!$J$70</f>
        <v>0</v>
      </c>
      <c r="AT74" s="889">
        <f>Sources!$J$70</f>
        <v>0</v>
      </c>
      <c r="AU74" s="431"/>
      <c r="AV74" s="431"/>
      <c r="AW74" s="431"/>
      <c r="AX74" s="431"/>
      <c r="AY74" s="431"/>
      <c r="AZ74" s="431"/>
      <c r="BA74" s="431"/>
      <c r="BB74" s="432"/>
      <c r="BC74" s="432"/>
      <c r="BD74" s="432"/>
      <c r="BE74" s="432"/>
      <c r="BF74" s="432"/>
      <c r="BG74" s="432"/>
      <c r="BH74" s="432"/>
      <c r="BI74" s="432"/>
      <c r="BJ74" s="432"/>
      <c r="BK74" s="432"/>
      <c r="BL74" s="432"/>
      <c r="BM74" s="432"/>
      <c r="BN74" s="432"/>
      <c r="BO74" s="432"/>
      <c r="BP74" s="432"/>
      <c r="BQ74" s="432"/>
      <c r="BR74" s="432"/>
      <c r="BS74" s="432"/>
      <c r="BT74" s="432"/>
      <c r="BU74" s="432"/>
      <c r="BV74" s="432"/>
      <c r="BW74" s="432"/>
      <c r="BX74" s="432"/>
      <c r="BY74" s="432"/>
      <c r="BZ74" s="432"/>
      <c r="CA74" s="432"/>
      <c r="CB74" s="432"/>
      <c r="CC74" s="432"/>
      <c r="CD74" s="432"/>
      <c r="CE74" s="432"/>
      <c r="CF74" s="432"/>
      <c r="CG74" s="432"/>
      <c r="CH74" s="432"/>
      <c r="CI74" s="432"/>
      <c r="CJ74" s="432"/>
      <c r="CK74" s="432"/>
      <c r="CL74" s="432"/>
      <c r="CM74" s="432"/>
      <c r="CN74" s="432"/>
      <c r="CO74" s="432"/>
      <c r="CP74" s="432"/>
      <c r="CQ74" s="432"/>
      <c r="CR74" s="432"/>
      <c r="CS74" s="432"/>
      <c r="CT74" s="432"/>
      <c r="CU74" s="432"/>
      <c r="CV74" s="432"/>
      <c r="CW74" s="432"/>
      <c r="CX74" s="432"/>
      <c r="CY74" s="432"/>
      <c r="CZ74" s="432"/>
      <c r="DA74" s="432"/>
      <c r="DB74" s="432"/>
      <c r="DC74" s="432"/>
      <c r="DD74" s="432"/>
      <c r="DE74" s="432"/>
      <c r="DF74" s="432"/>
      <c r="DG74" s="432"/>
      <c r="DH74" s="432"/>
      <c r="DI74" s="432"/>
      <c r="DJ74" s="432"/>
      <c r="DK74" s="432"/>
      <c r="DL74" s="432"/>
      <c r="DM74" s="432"/>
      <c r="DN74" s="432"/>
      <c r="DO74" s="432"/>
      <c r="DP74" s="432"/>
      <c r="DQ74" s="432"/>
      <c r="DR74" s="432"/>
      <c r="DS74" s="432"/>
      <c r="DT74" s="432"/>
      <c r="DU74" s="432"/>
      <c r="DV74" s="432"/>
      <c r="DW74" s="432"/>
      <c r="DX74" s="432"/>
      <c r="DY74" s="432"/>
      <c r="DZ74" s="432"/>
      <c r="EA74" s="432"/>
      <c r="EB74" s="432"/>
      <c r="EC74" s="432"/>
      <c r="ED74" s="432"/>
      <c r="EE74" s="432"/>
      <c r="EF74" s="432"/>
      <c r="EG74" s="432"/>
      <c r="EH74" s="432"/>
      <c r="EI74" s="432"/>
      <c r="EJ74" s="432"/>
      <c r="EK74" s="432"/>
      <c r="EL74" s="432"/>
      <c r="EM74" s="432"/>
      <c r="EN74" s="432"/>
      <c r="EO74" s="432"/>
      <c r="EP74" s="432"/>
      <c r="EQ74" s="432"/>
      <c r="ER74" s="432"/>
      <c r="ES74" s="432"/>
      <c r="ET74" s="432"/>
      <c r="EU74" s="432"/>
      <c r="EV74" s="432"/>
      <c r="EW74" s="432"/>
      <c r="EX74" s="432"/>
      <c r="EY74" s="432"/>
      <c r="EZ74" s="432"/>
      <c r="FA74" s="432"/>
      <c r="FB74" s="432"/>
      <c r="FC74" s="432"/>
      <c r="FD74" s="432"/>
      <c r="FE74" s="432"/>
      <c r="FF74" s="432"/>
      <c r="FG74" s="432"/>
      <c r="FH74" s="432"/>
      <c r="FI74" s="432"/>
    </row>
    <row r="75" spans="1:165" s="298" customFormat="1" ht="9" customHeight="1">
      <c r="A75" s="429"/>
      <c r="B75" s="297"/>
      <c r="C75" s="430"/>
      <c r="D75" s="430"/>
      <c r="E75" s="430"/>
      <c r="F75" s="430"/>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431"/>
      <c r="AV75" s="431"/>
      <c r="AW75" s="431"/>
      <c r="AX75" s="431"/>
      <c r="AY75" s="431"/>
      <c r="AZ75" s="431"/>
      <c r="BA75" s="431"/>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432"/>
      <c r="CD75" s="432"/>
      <c r="CE75" s="432"/>
      <c r="CF75" s="432"/>
      <c r="CG75" s="432"/>
      <c r="CH75" s="432"/>
      <c r="CI75" s="432"/>
      <c r="CJ75" s="432"/>
      <c r="CK75" s="432"/>
      <c r="CL75" s="432"/>
      <c r="CM75" s="432"/>
      <c r="CN75" s="432"/>
      <c r="CO75" s="432"/>
      <c r="CP75" s="432"/>
      <c r="CQ75" s="432"/>
      <c r="CR75" s="432"/>
      <c r="CS75" s="432"/>
      <c r="CT75" s="432"/>
      <c r="CU75" s="432"/>
      <c r="CV75" s="432"/>
      <c r="CW75" s="432"/>
      <c r="CX75" s="432"/>
      <c r="CY75" s="432"/>
      <c r="CZ75" s="432"/>
      <c r="DA75" s="432"/>
      <c r="DB75" s="432"/>
      <c r="DC75" s="432"/>
      <c r="DD75" s="432"/>
      <c r="DE75" s="432"/>
      <c r="DF75" s="432"/>
      <c r="DG75" s="432"/>
      <c r="DH75" s="432"/>
      <c r="DI75" s="432"/>
      <c r="DJ75" s="432"/>
      <c r="DK75" s="432"/>
      <c r="DL75" s="432"/>
      <c r="DM75" s="432"/>
      <c r="DN75" s="432"/>
      <c r="DO75" s="432"/>
      <c r="DP75" s="432"/>
      <c r="DQ75" s="432"/>
      <c r="DR75" s="432"/>
      <c r="DS75" s="432"/>
      <c r="DT75" s="432"/>
      <c r="DU75" s="432"/>
      <c r="DV75" s="432"/>
      <c r="DW75" s="432"/>
      <c r="DX75" s="432"/>
      <c r="DY75" s="432"/>
      <c r="DZ75" s="432"/>
      <c r="EA75" s="432"/>
      <c r="EB75" s="432"/>
      <c r="EC75" s="432"/>
      <c r="ED75" s="432"/>
      <c r="EE75" s="432"/>
      <c r="EF75" s="432"/>
      <c r="EG75" s="432"/>
      <c r="EH75" s="432"/>
      <c r="EI75" s="432"/>
      <c r="EJ75" s="432"/>
      <c r="EK75" s="432"/>
      <c r="EL75" s="432"/>
      <c r="EM75" s="432"/>
      <c r="EN75" s="432"/>
      <c r="EO75" s="432"/>
      <c r="EP75" s="432"/>
      <c r="EQ75" s="432"/>
      <c r="ER75" s="432"/>
      <c r="ES75" s="432"/>
      <c r="ET75" s="432"/>
      <c r="EU75" s="432"/>
      <c r="EV75" s="432"/>
      <c r="EW75" s="432"/>
      <c r="EX75" s="432"/>
      <c r="EY75" s="432"/>
      <c r="EZ75" s="432"/>
      <c r="FA75" s="432"/>
      <c r="FB75" s="432"/>
      <c r="FC75" s="432"/>
      <c r="FD75" s="432"/>
      <c r="FE75" s="432"/>
      <c r="FF75" s="432"/>
      <c r="FG75" s="432"/>
      <c r="FH75" s="432"/>
      <c r="FI75" s="432"/>
    </row>
    <row r="76" spans="1:165" s="298" customFormat="1">
      <c r="A76" s="429" t="s">
        <v>790</v>
      </c>
      <c r="B76" s="297"/>
      <c r="C76" s="430"/>
      <c r="D76" s="297">
        <f ca="1">D72-D74</f>
        <v>0</v>
      </c>
      <c r="E76" s="297">
        <f ca="1">E72-E74</f>
        <v>0</v>
      </c>
      <c r="F76" s="297">
        <f ca="1">F72-F74</f>
        <v>0</v>
      </c>
      <c r="G76" s="297">
        <f>G72-G74</f>
        <v>0</v>
      </c>
      <c r="H76" s="297">
        <f t="shared" ref="H76:AT76" si="33">H72-H74</f>
        <v>0</v>
      </c>
      <c r="I76" s="297">
        <f t="shared" si="33"/>
        <v>0</v>
      </c>
      <c r="J76" s="297">
        <f t="shared" si="33"/>
        <v>0</v>
      </c>
      <c r="K76" s="297">
        <f t="shared" si="33"/>
        <v>0</v>
      </c>
      <c r="L76" s="297">
        <f t="shared" si="33"/>
        <v>0</v>
      </c>
      <c r="M76" s="297">
        <f t="shared" si="33"/>
        <v>0</v>
      </c>
      <c r="N76" s="297">
        <f t="shared" si="33"/>
        <v>0</v>
      </c>
      <c r="O76" s="297">
        <f t="shared" si="33"/>
        <v>0</v>
      </c>
      <c r="P76" s="297">
        <f t="shared" si="33"/>
        <v>0</v>
      </c>
      <c r="Q76" s="297">
        <f t="shared" si="33"/>
        <v>0</v>
      </c>
      <c r="R76" s="297">
        <f t="shared" si="33"/>
        <v>0</v>
      </c>
      <c r="S76" s="297">
        <f t="shared" si="33"/>
        <v>0</v>
      </c>
      <c r="T76" s="297">
        <f t="shared" si="33"/>
        <v>0</v>
      </c>
      <c r="U76" s="297">
        <f t="shared" si="33"/>
        <v>0</v>
      </c>
      <c r="V76" s="297">
        <f t="shared" si="33"/>
        <v>0</v>
      </c>
      <c r="W76" s="297">
        <f t="shared" si="33"/>
        <v>0</v>
      </c>
      <c r="X76" s="297">
        <f t="shared" si="33"/>
        <v>0</v>
      </c>
      <c r="Y76" s="297">
        <f t="shared" si="33"/>
        <v>0</v>
      </c>
      <c r="Z76" s="297">
        <f t="shared" si="33"/>
        <v>0</v>
      </c>
      <c r="AA76" s="297">
        <f t="shared" si="33"/>
        <v>0</v>
      </c>
      <c r="AB76" s="297">
        <f t="shared" si="33"/>
        <v>0</v>
      </c>
      <c r="AC76" s="297">
        <f t="shared" si="33"/>
        <v>0</v>
      </c>
      <c r="AD76" s="297">
        <f t="shared" si="33"/>
        <v>0</v>
      </c>
      <c r="AE76" s="297">
        <f t="shared" si="33"/>
        <v>0</v>
      </c>
      <c r="AF76" s="297">
        <f t="shared" si="33"/>
        <v>0</v>
      </c>
      <c r="AG76" s="297">
        <f t="shared" si="33"/>
        <v>0</v>
      </c>
      <c r="AH76" s="297">
        <f t="shared" si="33"/>
        <v>0</v>
      </c>
      <c r="AI76" s="297">
        <f t="shared" si="33"/>
        <v>0</v>
      </c>
      <c r="AJ76" s="297">
        <f t="shared" si="33"/>
        <v>0</v>
      </c>
      <c r="AK76" s="297">
        <f t="shared" si="33"/>
        <v>0</v>
      </c>
      <c r="AL76" s="297">
        <f t="shared" si="33"/>
        <v>0</v>
      </c>
      <c r="AM76" s="297">
        <f t="shared" si="33"/>
        <v>0</v>
      </c>
      <c r="AN76" s="297">
        <f t="shared" si="33"/>
        <v>0</v>
      </c>
      <c r="AO76" s="297">
        <f t="shared" si="33"/>
        <v>0</v>
      </c>
      <c r="AP76" s="297">
        <f t="shared" si="33"/>
        <v>0</v>
      </c>
      <c r="AQ76" s="297">
        <f t="shared" si="33"/>
        <v>0</v>
      </c>
      <c r="AR76" s="297">
        <f t="shared" si="33"/>
        <v>0</v>
      </c>
      <c r="AS76" s="297">
        <f t="shared" si="33"/>
        <v>0</v>
      </c>
      <c r="AT76" s="297">
        <f t="shared" si="33"/>
        <v>0</v>
      </c>
      <c r="AU76" s="431"/>
      <c r="AV76" s="431"/>
      <c r="AW76" s="431"/>
      <c r="AX76" s="431"/>
      <c r="AY76" s="431"/>
      <c r="AZ76" s="431"/>
      <c r="BA76" s="431"/>
      <c r="BB76" s="432"/>
      <c r="BC76" s="432"/>
      <c r="BD76" s="432"/>
      <c r="BE76" s="432"/>
      <c r="BF76" s="432"/>
      <c r="BG76" s="432"/>
      <c r="BH76" s="432"/>
      <c r="BI76" s="432"/>
      <c r="BJ76" s="432"/>
      <c r="BK76" s="432"/>
      <c r="BL76" s="432"/>
      <c r="BM76" s="432"/>
      <c r="BN76" s="432"/>
      <c r="BO76" s="432"/>
      <c r="BP76" s="432"/>
      <c r="BQ76" s="432"/>
      <c r="BR76" s="432"/>
      <c r="BS76" s="432"/>
      <c r="BT76" s="432"/>
      <c r="BU76" s="432"/>
      <c r="BV76" s="432"/>
      <c r="BW76" s="432"/>
      <c r="BX76" s="432"/>
      <c r="BY76" s="432"/>
      <c r="BZ76" s="432"/>
      <c r="CA76" s="432"/>
      <c r="CB76" s="432"/>
      <c r="CC76" s="432"/>
      <c r="CD76" s="432"/>
      <c r="CE76" s="432"/>
      <c r="CF76" s="432"/>
      <c r="CG76" s="432"/>
      <c r="CH76" s="432"/>
      <c r="CI76" s="432"/>
      <c r="CJ76" s="432"/>
      <c r="CK76" s="432"/>
      <c r="CL76" s="432"/>
      <c r="CM76" s="432"/>
      <c r="CN76" s="432"/>
      <c r="CO76" s="432"/>
      <c r="CP76" s="432"/>
      <c r="CQ76" s="432"/>
      <c r="CR76" s="432"/>
      <c r="CS76" s="432"/>
      <c r="CT76" s="432"/>
      <c r="CU76" s="432"/>
      <c r="CV76" s="432"/>
      <c r="CW76" s="432"/>
      <c r="CX76" s="432"/>
      <c r="CY76" s="432"/>
      <c r="CZ76" s="432"/>
      <c r="DA76" s="432"/>
      <c r="DB76" s="432"/>
      <c r="DC76" s="432"/>
      <c r="DD76" s="432"/>
      <c r="DE76" s="432"/>
      <c r="DF76" s="432"/>
      <c r="DG76" s="432"/>
      <c r="DH76" s="432"/>
      <c r="DI76" s="432"/>
      <c r="DJ76" s="432"/>
      <c r="DK76" s="432"/>
      <c r="DL76" s="432"/>
      <c r="DM76" s="432"/>
      <c r="DN76" s="432"/>
      <c r="DO76" s="432"/>
      <c r="DP76" s="432"/>
      <c r="DQ76" s="432"/>
      <c r="DR76" s="432"/>
      <c r="DS76" s="432"/>
      <c r="DT76" s="432"/>
      <c r="DU76" s="432"/>
      <c r="DV76" s="432"/>
      <c r="DW76" s="432"/>
      <c r="DX76" s="432"/>
      <c r="DY76" s="432"/>
      <c r="DZ76" s="432"/>
      <c r="EA76" s="432"/>
      <c r="EB76" s="432"/>
      <c r="EC76" s="432"/>
      <c r="ED76" s="432"/>
      <c r="EE76" s="432"/>
      <c r="EF76" s="432"/>
      <c r="EG76" s="432"/>
      <c r="EH76" s="432"/>
      <c r="EI76" s="432"/>
      <c r="EJ76" s="432"/>
      <c r="EK76" s="432"/>
      <c r="EL76" s="432"/>
      <c r="EM76" s="432"/>
      <c r="EN76" s="432"/>
      <c r="EO76" s="432"/>
      <c r="EP76" s="432"/>
      <c r="EQ76" s="432"/>
      <c r="ER76" s="432"/>
      <c r="ES76" s="432"/>
      <c r="ET76" s="432"/>
      <c r="EU76" s="432"/>
      <c r="EV76" s="432"/>
      <c r="EW76" s="432"/>
      <c r="EX76" s="432"/>
      <c r="EY76" s="432"/>
      <c r="EZ76" s="432"/>
      <c r="FA76" s="432"/>
      <c r="FB76" s="432"/>
      <c r="FC76" s="432"/>
      <c r="FD76" s="432"/>
      <c r="FE76" s="432"/>
      <c r="FF76" s="432"/>
      <c r="FG76" s="432"/>
      <c r="FH76" s="432"/>
      <c r="FI76" s="432"/>
    </row>
    <row r="77" spans="1:165" s="298" customFormat="1" ht="9" customHeight="1">
      <c r="A77" s="429"/>
      <c r="B77" s="297"/>
      <c r="C77" s="430"/>
      <c r="D77" s="430"/>
      <c r="E77" s="430"/>
      <c r="F77" s="430"/>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7"/>
      <c r="AL77" s="297"/>
      <c r="AM77" s="297"/>
      <c r="AN77" s="297"/>
      <c r="AO77" s="297"/>
      <c r="AP77" s="297"/>
      <c r="AQ77" s="297"/>
      <c r="AR77" s="297"/>
      <c r="AS77" s="297"/>
      <c r="AT77" s="297"/>
      <c r="AU77" s="431"/>
      <c r="AV77" s="431"/>
      <c r="AW77" s="431"/>
      <c r="AX77" s="431"/>
      <c r="AY77" s="431"/>
      <c r="AZ77" s="431"/>
      <c r="BA77" s="431"/>
      <c r="BB77" s="432"/>
      <c r="BC77" s="432"/>
      <c r="BD77" s="432"/>
      <c r="BE77" s="432"/>
      <c r="BF77" s="432"/>
      <c r="BG77" s="432"/>
      <c r="BH77" s="432"/>
      <c r="BI77" s="432"/>
      <c r="BJ77" s="432"/>
      <c r="BK77" s="432"/>
      <c r="BL77" s="432"/>
      <c r="BM77" s="432"/>
      <c r="BN77" s="432"/>
      <c r="BO77" s="432"/>
      <c r="BP77" s="432"/>
      <c r="BQ77" s="432"/>
      <c r="BR77" s="432"/>
      <c r="BS77" s="432"/>
      <c r="BT77" s="432"/>
      <c r="BU77" s="432"/>
      <c r="BV77" s="432"/>
      <c r="BW77" s="432"/>
      <c r="BX77" s="432"/>
      <c r="BY77" s="432"/>
      <c r="BZ77" s="432"/>
      <c r="CA77" s="432"/>
      <c r="CB77" s="432"/>
      <c r="CC77" s="432"/>
      <c r="CD77" s="432"/>
      <c r="CE77" s="432"/>
      <c r="CF77" s="432"/>
      <c r="CG77" s="432"/>
      <c r="CH77" s="432"/>
      <c r="CI77" s="432"/>
      <c r="CJ77" s="432"/>
      <c r="CK77" s="432"/>
      <c r="CL77" s="432"/>
      <c r="CM77" s="432"/>
      <c r="CN77" s="432"/>
      <c r="CO77" s="432"/>
      <c r="CP77" s="432"/>
      <c r="CQ77" s="432"/>
      <c r="CR77" s="432"/>
      <c r="CS77" s="432"/>
      <c r="CT77" s="432"/>
      <c r="CU77" s="432"/>
      <c r="CV77" s="432"/>
      <c r="CW77" s="432"/>
      <c r="CX77" s="432"/>
      <c r="CY77" s="432"/>
      <c r="CZ77" s="432"/>
      <c r="DA77" s="432"/>
      <c r="DB77" s="432"/>
      <c r="DC77" s="432"/>
      <c r="DD77" s="432"/>
      <c r="DE77" s="432"/>
      <c r="DF77" s="432"/>
      <c r="DG77" s="432"/>
      <c r="DH77" s="432"/>
      <c r="DI77" s="432"/>
      <c r="DJ77" s="432"/>
      <c r="DK77" s="432"/>
      <c r="DL77" s="432"/>
      <c r="DM77" s="432"/>
      <c r="DN77" s="432"/>
      <c r="DO77" s="432"/>
      <c r="DP77" s="432"/>
      <c r="DQ77" s="432"/>
      <c r="DR77" s="432"/>
      <c r="DS77" s="432"/>
      <c r="DT77" s="432"/>
      <c r="DU77" s="432"/>
      <c r="DV77" s="432"/>
      <c r="DW77" s="432"/>
      <c r="DX77" s="432"/>
      <c r="DY77" s="432"/>
      <c r="DZ77" s="432"/>
      <c r="EA77" s="432"/>
      <c r="EB77" s="432"/>
      <c r="EC77" s="432"/>
      <c r="ED77" s="432"/>
      <c r="EE77" s="432"/>
      <c r="EF77" s="432"/>
      <c r="EG77" s="432"/>
      <c r="EH77" s="432"/>
      <c r="EI77" s="432"/>
      <c r="EJ77" s="432"/>
      <c r="EK77" s="432"/>
      <c r="EL77" s="432"/>
      <c r="EM77" s="432"/>
      <c r="EN77" s="432"/>
      <c r="EO77" s="432"/>
      <c r="EP77" s="432"/>
      <c r="EQ77" s="432"/>
      <c r="ER77" s="432"/>
      <c r="ES77" s="432"/>
      <c r="ET77" s="432"/>
      <c r="EU77" s="432"/>
      <c r="EV77" s="432"/>
      <c r="EW77" s="432"/>
      <c r="EX77" s="432"/>
      <c r="EY77" s="432"/>
      <c r="EZ77" s="432"/>
      <c r="FA77" s="432"/>
      <c r="FB77" s="432"/>
      <c r="FC77" s="432"/>
      <c r="FD77" s="432"/>
      <c r="FE77" s="432"/>
      <c r="FF77" s="432"/>
      <c r="FG77" s="432"/>
      <c r="FH77" s="432"/>
      <c r="FI77" s="432"/>
    </row>
    <row r="78" spans="1:165" s="299" customFormat="1">
      <c r="A78" s="461" t="s">
        <v>791</v>
      </c>
      <c r="C78" s="462"/>
      <c r="D78" s="299" t="str">
        <f ca="1">IF(D74&gt;0,D72/D74,"")</f>
        <v/>
      </c>
      <c r="E78" s="299" t="str">
        <f ca="1">IF(E74&gt;0,E72/E74,"")</f>
        <v/>
      </c>
      <c r="F78" s="299" t="str">
        <f ca="1">IF(F74&gt;0,F72/F74,"")</f>
        <v/>
      </c>
      <c r="G78" s="299" t="str">
        <f>IF(G74&gt;0,G72/G74,"")</f>
        <v/>
      </c>
      <c r="H78" s="299" t="str">
        <f t="shared" ref="H78:AT78" si="34">IF(H74&gt;0,H72/H74,"")</f>
        <v/>
      </c>
      <c r="I78" s="299" t="str">
        <f t="shared" si="34"/>
        <v/>
      </c>
      <c r="J78" s="299" t="str">
        <f t="shared" si="34"/>
        <v/>
      </c>
      <c r="K78" s="299" t="str">
        <f t="shared" si="34"/>
        <v/>
      </c>
      <c r="L78" s="299" t="str">
        <f t="shared" si="34"/>
        <v/>
      </c>
      <c r="M78" s="299" t="str">
        <f t="shared" si="34"/>
        <v/>
      </c>
      <c r="N78" s="299" t="str">
        <f t="shared" si="34"/>
        <v/>
      </c>
      <c r="O78" s="299" t="str">
        <f t="shared" si="34"/>
        <v/>
      </c>
      <c r="P78" s="299" t="str">
        <f t="shared" si="34"/>
        <v/>
      </c>
      <c r="Q78" s="299" t="str">
        <f t="shared" si="34"/>
        <v/>
      </c>
      <c r="R78" s="299" t="str">
        <f t="shared" si="34"/>
        <v/>
      </c>
      <c r="S78" s="299" t="str">
        <f t="shared" si="34"/>
        <v/>
      </c>
      <c r="T78" s="299" t="str">
        <f t="shared" si="34"/>
        <v/>
      </c>
      <c r="U78" s="299" t="str">
        <f t="shared" si="34"/>
        <v/>
      </c>
      <c r="V78" s="299" t="str">
        <f t="shared" si="34"/>
        <v/>
      </c>
      <c r="W78" s="299" t="str">
        <f t="shared" si="34"/>
        <v/>
      </c>
      <c r="X78" s="299" t="str">
        <f t="shared" si="34"/>
        <v/>
      </c>
      <c r="Y78" s="299" t="str">
        <f t="shared" si="34"/>
        <v/>
      </c>
      <c r="Z78" s="299" t="str">
        <f t="shared" si="34"/>
        <v/>
      </c>
      <c r="AA78" s="299" t="str">
        <f t="shared" si="34"/>
        <v/>
      </c>
      <c r="AB78" s="299" t="str">
        <f t="shared" si="34"/>
        <v/>
      </c>
      <c r="AC78" s="299" t="str">
        <f t="shared" si="34"/>
        <v/>
      </c>
      <c r="AD78" s="299" t="str">
        <f t="shared" si="34"/>
        <v/>
      </c>
      <c r="AE78" s="299" t="str">
        <f t="shared" si="34"/>
        <v/>
      </c>
      <c r="AF78" s="299" t="str">
        <f t="shared" si="34"/>
        <v/>
      </c>
      <c r="AG78" s="299" t="str">
        <f t="shared" si="34"/>
        <v/>
      </c>
      <c r="AH78" s="299" t="str">
        <f t="shared" si="34"/>
        <v/>
      </c>
      <c r="AI78" s="299" t="str">
        <f t="shared" si="34"/>
        <v/>
      </c>
      <c r="AJ78" s="299" t="str">
        <f t="shared" si="34"/>
        <v/>
      </c>
      <c r="AK78" s="299" t="str">
        <f t="shared" si="34"/>
        <v/>
      </c>
      <c r="AL78" s="299" t="str">
        <f t="shared" si="34"/>
        <v/>
      </c>
      <c r="AM78" s="299" t="str">
        <f t="shared" si="34"/>
        <v/>
      </c>
      <c r="AN78" s="299" t="str">
        <f t="shared" si="34"/>
        <v/>
      </c>
      <c r="AO78" s="299" t="str">
        <f t="shared" si="34"/>
        <v/>
      </c>
      <c r="AP78" s="299" t="str">
        <f t="shared" si="34"/>
        <v/>
      </c>
      <c r="AQ78" s="299" t="str">
        <f t="shared" si="34"/>
        <v/>
      </c>
      <c r="AR78" s="299" t="str">
        <f t="shared" si="34"/>
        <v/>
      </c>
      <c r="AS78" s="299" t="str">
        <f t="shared" si="34"/>
        <v/>
      </c>
      <c r="AT78" s="299" t="str">
        <f t="shared" si="34"/>
        <v/>
      </c>
      <c r="AU78" s="463"/>
      <c r="AV78" s="463"/>
      <c r="AW78" s="463"/>
      <c r="AX78" s="463"/>
      <c r="AY78" s="463"/>
      <c r="AZ78" s="463"/>
      <c r="BA78" s="463"/>
      <c r="BB78" s="463"/>
      <c r="BC78" s="463"/>
      <c r="BD78" s="463"/>
      <c r="BE78" s="463"/>
      <c r="BF78" s="463"/>
      <c r="BG78" s="463"/>
      <c r="BH78" s="463"/>
      <c r="BI78" s="463"/>
      <c r="BJ78" s="463"/>
      <c r="BK78" s="463"/>
      <c r="BL78" s="463"/>
      <c r="BM78" s="463"/>
      <c r="BN78" s="463"/>
      <c r="BO78" s="463"/>
      <c r="BP78" s="463"/>
      <c r="BQ78" s="463"/>
      <c r="BR78" s="463"/>
      <c r="BS78" s="463"/>
      <c r="BT78" s="463"/>
      <c r="BU78" s="463"/>
      <c r="BV78" s="463"/>
      <c r="BW78" s="463"/>
      <c r="BX78" s="463"/>
      <c r="BY78" s="463"/>
      <c r="BZ78" s="463"/>
      <c r="CA78" s="463"/>
      <c r="CB78" s="463"/>
      <c r="CC78" s="463"/>
      <c r="CD78" s="463"/>
      <c r="CE78" s="463"/>
      <c r="CF78" s="463"/>
      <c r="CG78" s="463"/>
      <c r="CH78" s="463"/>
      <c r="CI78" s="463"/>
      <c r="CJ78" s="463"/>
      <c r="CK78" s="463"/>
      <c r="CL78" s="463"/>
      <c r="CM78" s="463"/>
      <c r="CN78" s="463"/>
      <c r="CO78" s="463"/>
      <c r="CP78" s="463"/>
      <c r="CQ78" s="463"/>
      <c r="CR78" s="463"/>
      <c r="CS78" s="463"/>
      <c r="CT78" s="463"/>
      <c r="CU78" s="463"/>
      <c r="CV78" s="463"/>
      <c r="CW78" s="463"/>
      <c r="CX78" s="463"/>
      <c r="CY78" s="463"/>
      <c r="CZ78" s="463"/>
      <c r="DA78" s="463"/>
      <c r="DB78" s="463"/>
      <c r="DC78" s="463"/>
      <c r="DD78" s="463"/>
      <c r="DE78" s="463"/>
      <c r="DF78" s="463"/>
      <c r="DG78" s="463"/>
      <c r="DH78" s="463"/>
      <c r="DI78" s="463"/>
      <c r="DJ78" s="463"/>
      <c r="DK78" s="463"/>
      <c r="DL78" s="463"/>
      <c r="DM78" s="463"/>
      <c r="DN78" s="463"/>
      <c r="DO78" s="463"/>
      <c r="DP78" s="463"/>
      <c r="DQ78" s="463"/>
      <c r="DR78" s="463"/>
      <c r="DS78" s="463"/>
      <c r="DT78" s="463"/>
      <c r="DU78" s="463"/>
      <c r="DV78" s="463"/>
      <c r="DW78" s="463"/>
      <c r="DX78" s="463"/>
      <c r="DY78" s="463"/>
      <c r="DZ78" s="463"/>
      <c r="EA78" s="463"/>
      <c r="EB78" s="463"/>
      <c r="EC78" s="463"/>
      <c r="ED78" s="463"/>
      <c r="EE78" s="463"/>
      <c r="EF78" s="463"/>
      <c r="EG78" s="463"/>
      <c r="EH78" s="463"/>
      <c r="EI78" s="463"/>
      <c r="EJ78" s="463"/>
      <c r="EK78" s="463"/>
      <c r="EL78" s="463"/>
      <c r="EM78" s="463"/>
      <c r="EN78" s="463"/>
      <c r="EO78" s="463"/>
      <c r="EP78" s="463"/>
      <c r="EQ78" s="463"/>
      <c r="ER78" s="463"/>
      <c r="ES78" s="463"/>
      <c r="ET78" s="463"/>
      <c r="EU78" s="463"/>
      <c r="EV78" s="463"/>
      <c r="EW78" s="463"/>
      <c r="EX78" s="463"/>
      <c r="EY78" s="463"/>
      <c r="EZ78" s="463"/>
      <c r="FA78" s="463"/>
      <c r="FB78" s="463"/>
      <c r="FC78" s="463"/>
      <c r="FD78" s="463"/>
      <c r="FE78" s="463"/>
      <c r="FF78" s="463"/>
      <c r="FG78" s="463"/>
      <c r="FH78" s="463"/>
      <c r="FI78" s="463"/>
    </row>
    <row r="79" spans="1:165">
      <c r="B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97"/>
      <c r="AR79" s="297"/>
      <c r="AS79" s="297"/>
      <c r="AT79" s="297"/>
      <c r="AU79" s="431"/>
      <c r="AV79" s="431"/>
      <c r="AW79" s="431"/>
      <c r="AX79" s="431"/>
      <c r="AY79" s="431"/>
      <c r="AZ79" s="431"/>
      <c r="BA79" s="431"/>
    </row>
    <row r="80" spans="1:165" s="895" customFormat="1">
      <c r="A80" s="891"/>
      <c r="B80" s="889"/>
      <c r="C80" s="892"/>
      <c r="D80" s="892"/>
      <c r="E80" s="892"/>
      <c r="F80" s="892"/>
      <c r="G80" s="889"/>
      <c r="H80" s="889"/>
      <c r="I80" s="889"/>
      <c r="J80" s="889"/>
      <c r="K80" s="889"/>
      <c r="L80" s="889"/>
      <c r="M80" s="889"/>
      <c r="N80" s="889"/>
      <c r="O80" s="889"/>
      <c r="P80" s="889"/>
      <c r="Q80" s="889"/>
      <c r="R80" s="889"/>
      <c r="S80" s="889"/>
      <c r="T80" s="889"/>
      <c r="U80" s="889"/>
      <c r="V80" s="889"/>
      <c r="W80" s="889"/>
      <c r="X80" s="889"/>
      <c r="Y80" s="889"/>
      <c r="Z80" s="889"/>
      <c r="AA80" s="889"/>
      <c r="AB80" s="889"/>
      <c r="AC80" s="889"/>
      <c r="AD80" s="889"/>
      <c r="AE80" s="889"/>
      <c r="AF80" s="889"/>
      <c r="AG80" s="889"/>
      <c r="AH80" s="889"/>
      <c r="AI80" s="889"/>
      <c r="AJ80" s="889"/>
      <c r="AK80" s="889"/>
      <c r="AL80" s="889"/>
      <c r="AM80" s="889"/>
      <c r="AN80" s="889"/>
      <c r="AO80" s="889"/>
      <c r="AP80" s="889"/>
      <c r="AQ80" s="889"/>
      <c r="AR80" s="889"/>
      <c r="AS80" s="889"/>
      <c r="AT80" s="889"/>
      <c r="AU80" s="893"/>
      <c r="AV80" s="893"/>
      <c r="AW80" s="893"/>
      <c r="AX80" s="893"/>
      <c r="AY80" s="893"/>
      <c r="AZ80" s="893"/>
      <c r="BA80" s="893"/>
      <c r="BB80" s="894"/>
      <c r="BC80" s="894"/>
      <c r="BD80" s="894"/>
      <c r="BE80" s="894"/>
      <c r="BF80" s="894"/>
      <c r="BG80" s="894"/>
      <c r="BH80" s="894"/>
      <c r="BI80" s="894"/>
      <c r="BJ80" s="894"/>
      <c r="BK80" s="894"/>
      <c r="BL80" s="894"/>
      <c r="BM80" s="894"/>
      <c r="BN80" s="894"/>
      <c r="BO80" s="894"/>
      <c r="BP80" s="894"/>
      <c r="BQ80" s="894"/>
      <c r="BR80" s="894"/>
      <c r="BS80" s="894"/>
      <c r="BT80" s="894"/>
      <c r="BU80" s="894"/>
      <c r="BV80" s="894"/>
      <c r="BW80" s="894"/>
      <c r="BX80" s="894"/>
      <c r="BY80" s="894"/>
      <c r="BZ80" s="894"/>
      <c r="CA80" s="894"/>
      <c r="CB80" s="894"/>
      <c r="CC80" s="894"/>
      <c r="CD80" s="894"/>
      <c r="CE80" s="894"/>
      <c r="CF80" s="894"/>
      <c r="CG80" s="894"/>
      <c r="CH80" s="894"/>
      <c r="CI80" s="894"/>
      <c r="CJ80" s="894"/>
      <c r="CK80" s="894"/>
      <c r="CL80" s="894"/>
      <c r="CM80" s="894"/>
      <c r="CN80" s="894"/>
      <c r="CO80" s="894"/>
      <c r="CP80" s="894"/>
      <c r="CQ80" s="894"/>
      <c r="CR80" s="894"/>
      <c r="CS80" s="894"/>
      <c r="CT80" s="894"/>
      <c r="CU80" s="894"/>
      <c r="CV80" s="894"/>
      <c r="CW80" s="894"/>
      <c r="CX80" s="894"/>
      <c r="CY80" s="894"/>
      <c r="CZ80" s="894"/>
      <c r="DA80" s="894"/>
      <c r="DB80" s="894"/>
      <c r="DC80" s="894"/>
      <c r="DD80" s="894"/>
      <c r="DE80" s="894"/>
      <c r="DF80" s="894"/>
      <c r="DG80" s="894"/>
      <c r="DH80" s="894"/>
      <c r="DI80" s="894"/>
      <c r="DJ80" s="894"/>
      <c r="DK80" s="894"/>
      <c r="DL80" s="894"/>
      <c r="DM80" s="894"/>
      <c r="DN80" s="894"/>
      <c r="DO80" s="894"/>
      <c r="DP80" s="894"/>
      <c r="DQ80" s="894"/>
      <c r="DR80" s="894"/>
      <c r="DS80" s="894"/>
      <c r="DT80" s="894"/>
      <c r="DU80" s="894"/>
      <c r="DV80" s="894"/>
      <c r="DW80" s="894"/>
      <c r="DX80" s="894"/>
      <c r="DY80" s="894"/>
      <c r="DZ80" s="894"/>
      <c r="EA80" s="894"/>
      <c r="EB80" s="894"/>
      <c r="EC80" s="894"/>
      <c r="ED80" s="894"/>
      <c r="EE80" s="894"/>
      <c r="EF80" s="894"/>
      <c r="EG80" s="894"/>
      <c r="EH80" s="894"/>
      <c r="EI80" s="894"/>
      <c r="EJ80" s="894"/>
      <c r="EK80" s="894"/>
      <c r="EL80" s="894"/>
      <c r="EM80" s="894"/>
      <c r="EN80" s="894"/>
      <c r="EO80" s="894"/>
      <c r="EP80" s="894"/>
      <c r="EQ80" s="894"/>
      <c r="ER80" s="894"/>
      <c r="ES80" s="894"/>
      <c r="ET80" s="894"/>
      <c r="EU80" s="894"/>
      <c r="EV80" s="894"/>
      <c r="EW80" s="894"/>
      <c r="EX80" s="894"/>
      <c r="EY80" s="894"/>
      <c r="EZ80" s="894"/>
      <c r="FA80" s="894"/>
      <c r="FB80" s="894"/>
      <c r="FC80" s="894"/>
      <c r="FD80" s="894"/>
      <c r="FE80" s="894"/>
      <c r="FF80" s="894"/>
      <c r="FG80" s="894"/>
      <c r="FH80" s="894"/>
      <c r="FI80" s="894"/>
    </row>
    <row r="81" spans="1:165" s="895" customFormat="1">
      <c r="A81" s="891"/>
      <c r="B81" s="889"/>
      <c r="C81" s="892"/>
      <c r="D81" s="892"/>
      <c r="E81" s="892"/>
      <c r="F81" s="892"/>
      <c r="G81" s="889"/>
      <c r="H81" s="889"/>
      <c r="I81" s="889"/>
      <c r="J81" s="889"/>
      <c r="K81" s="889"/>
      <c r="L81" s="889"/>
      <c r="M81" s="889"/>
      <c r="N81" s="889"/>
      <c r="O81" s="889"/>
      <c r="P81" s="889"/>
      <c r="Q81" s="889"/>
      <c r="R81" s="889"/>
      <c r="S81" s="889"/>
      <c r="T81" s="889"/>
      <c r="U81" s="889"/>
      <c r="V81" s="889"/>
      <c r="W81" s="889"/>
      <c r="X81" s="889"/>
      <c r="Y81" s="889"/>
      <c r="Z81" s="889"/>
      <c r="AA81" s="889"/>
      <c r="AB81" s="889"/>
      <c r="AC81" s="889"/>
      <c r="AD81" s="889"/>
      <c r="AE81" s="889"/>
      <c r="AF81" s="889"/>
      <c r="AG81" s="889"/>
      <c r="AH81" s="889"/>
      <c r="AI81" s="889"/>
      <c r="AJ81" s="889"/>
      <c r="AK81" s="889"/>
      <c r="AL81" s="889"/>
      <c r="AM81" s="889"/>
      <c r="AN81" s="889"/>
      <c r="AO81" s="889"/>
      <c r="AP81" s="889"/>
      <c r="AQ81" s="889"/>
      <c r="AR81" s="889"/>
      <c r="AS81" s="889"/>
      <c r="AT81" s="889"/>
      <c r="AU81" s="893"/>
      <c r="AV81" s="893"/>
      <c r="AW81" s="893"/>
      <c r="AX81" s="893"/>
      <c r="AY81" s="893"/>
      <c r="AZ81" s="893"/>
      <c r="BA81" s="893"/>
      <c r="BB81" s="894"/>
      <c r="BC81" s="894"/>
      <c r="BD81" s="894"/>
      <c r="BE81" s="894"/>
      <c r="BF81" s="894"/>
      <c r="BG81" s="894"/>
      <c r="BH81" s="894"/>
      <c r="BI81" s="894"/>
      <c r="BJ81" s="894"/>
      <c r="BK81" s="894"/>
      <c r="BL81" s="894"/>
      <c r="BM81" s="894"/>
      <c r="BN81" s="894"/>
      <c r="BO81" s="894"/>
      <c r="BP81" s="894"/>
      <c r="BQ81" s="894"/>
      <c r="BR81" s="894"/>
      <c r="BS81" s="894"/>
      <c r="BT81" s="894"/>
      <c r="BU81" s="894"/>
      <c r="BV81" s="894"/>
      <c r="BW81" s="894"/>
      <c r="BX81" s="894"/>
      <c r="BY81" s="894"/>
      <c r="BZ81" s="894"/>
      <c r="CA81" s="894"/>
      <c r="CB81" s="894"/>
      <c r="CC81" s="894"/>
      <c r="CD81" s="894"/>
      <c r="CE81" s="894"/>
      <c r="CF81" s="894"/>
      <c r="CG81" s="894"/>
      <c r="CH81" s="894"/>
      <c r="CI81" s="894"/>
      <c r="CJ81" s="894"/>
      <c r="CK81" s="894"/>
      <c r="CL81" s="894"/>
      <c r="CM81" s="894"/>
      <c r="CN81" s="894"/>
      <c r="CO81" s="894"/>
      <c r="CP81" s="894"/>
      <c r="CQ81" s="894"/>
      <c r="CR81" s="894"/>
      <c r="CS81" s="894"/>
      <c r="CT81" s="894"/>
      <c r="CU81" s="894"/>
      <c r="CV81" s="894"/>
      <c r="CW81" s="894"/>
      <c r="CX81" s="894"/>
      <c r="CY81" s="894"/>
      <c r="CZ81" s="894"/>
      <c r="DA81" s="894"/>
      <c r="DB81" s="894"/>
      <c r="DC81" s="894"/>
      <c r="DD81" s="894"/>
      <c r="DE81" s="894"/>
      <c r="DF81" s="894"/>
      <c r="DG81" s="894"/>
      <c r="DH81" s="894"/>
      <c r="DI81" s="894"/>
      <c r="DJ81" s="894"/>
      <c r="DK81" s="894"/>
      <c r="DL81" s="894"/>
      <c r="DM81" s="894"/>
      <c r="DN81" s="894"/>
      <c r="DO81" s="894"/>
      <c r="DP81" s="894"/>
      <c r="DQ81" s="894"/>
      <c r="DR81" s="894"/>
      <c r="DS81" s="894"/>
      <c r="DT81" s="894"/>
      <c r="DU81" s="894"/>
      <c r="DV81" s="894"/>
      <c r="DW81" s="894"/>
      <c r="DX81" s="894"/>
      <c r="DY81" s="894"/>
      <c r="DZ81" s="894"/>
      <c r="EA81" s="894"/>
      <c r="EB81" s="894"/>
      <c r="EC81" s="894"/>
      <c r="ED81" s="894"/>
      <c r="EE81" s="894"/>
      <c r="EF81" s="894"/>
      <c r="EG81" s="894"/>
      <c r="EH81" s="894"/>
      <c r="EI81" s="894"/>
      <c r="EJ81" s="894"/>
      <c r="EK81" s="894"/>
      <c r="EL81" s="894"/>
      <c r="EM81" s="894"/>
      <c r="EN81" s="894"/>
      <c r="EO81" s="894"/>
      <c r="EP81" s="894"/>
      <c r="EQ81" s="894"/>
      <c r="ER81" s="894"/>
      <c r="ES81" s="894"/>
      <c r="ET81" s="894"/>
      <c r="EU81" s="894"/>
      <c r="EV81" s="894"/>
      <c r="EW81" s="894"/>
      <c r="EX81" s="894"/>
      <c r="EY81" s="894"/>
      <c r="EZ81" s="894"/>
      <c r="FA81" s="894"/>
      <c r="FB81" s="894"/>
      <c r="FC81" s="894"/>
      <c r="FD81" s="894"/>
      <c r="FE81" s="894"/>
      <c r="FF81" s="894"/>
      <c r="FG81" s="894"/>
      <c r="FH81" s="894"/>
      <c r="FI81" s="894"/>
    </row>
    <row r="82" spans="1:165" s="895" customFormat="1">
      <c r="A82" s="891"/>
      <c r="B82" s="889"/>
      <c r="C82" s="892"/>
      <c r="D82" s="892"/>
      <c r="E82" s="892"/>
      <c r="F82" s="892"/>
      <c r="G82" s="889"/>
      <c r="H82" s="889"/>
      <c r="I82" s="889"/>
      <c r="J82" s="889"/>
      <c r="K82" s="889"/>
      <c r="L82" s="889"/>
      <c r="M82" s="889"/>
      <c r="N82" s="889"/>
      <c r="O82" s="889"/>
      <c r="P82" s="889"/>
      <c r="Q82" s="889"/>
      <c r="R82" s="889"/>
      <c r="S82" s="889"/>
      <c r="T82" s="889"/>
      <c r="U82" s="889"/>
      <c r="V82" s="889"/>
      <c r="W82" s="889"/>
      <c r="X82" s="889"/>
      <c r="Y82" s="889"/>
      <c r="Z82" s="889"/>
      <c r="AA82" s="889"/>
      <c r="AB82" s="889"/>
      <c r="AC82" s="889"/>
      <c r="AD82" s="889"/>
      <c r="AE82" s="889"/>
      <c r="AF82" s="889"/>
      <c r="AG82" s="889"/>
      <c r="AH82" s="889"/>
      <c r="AI82" s="889"/>
      <c r="AJ82" s="889"/>
      <c r="AK82" s="889"/>
      <c r="AL82" s="889"/>
      <c r="AM82" s="889"/>
      <c r="AN82" s="889"/>
      <c r="AO82" s="889"/>
      <c r="AP82" s="889"/>
      <c r="AQ82" s="889"/>
      <c r="AR82" s="889" t="s">
        <v>180</v>
      </c>
      <c r="AS82" s="889"/>
      <c r="AT82" s="889"/>
      <c r="AU82" s="893"/>
      <c r="AV82" s="893"/>
      <c r="AW82" s="893"/>
      <c r="AX82" s="893"/>
      <c r="AY82" s="893"/>
      <c r="AZ82" s="893"/>
      <c r="BA82" s="893"/>
      <c r="BB82" s="894"/>
      <c r="BC82" s="894"/>
      <c r="BD82" s="894"/>
      <c r="BE82" s="894"/>
      <c r="BF82" s="894"/>
      <c r="BG82" s="894"/>
      <c r="BH82" s="894"/>
      <c r="BI82" s="894"/>
      <c r="BJ82" s="894"/>
      <c r="BK82" s="894"/>
      <c r="BL82" s="894"/>
      <c r="BM82" s="894"/>
      <c r="BN82" s="894"/>
      <c r="BO82" s="894"/>
      <c r="BP82" s="894"/>
      <c r="BQ82" s="894"/>
      <c r="BR82" s="894"/>
      <c r="BS82" s="894"/>
      <c r="BT82" s="894"/>
      <c r="BU82" s="894"/>
      <c r="BV82" s="894"/>
      <c r="BW82" s="894"/>
      <c r="BX82" s="894"/>
      <c r="BY82" s="894"/>
      <c r="BZ82" s="894"/>
      <c r="CA82" s="894"/>
      <c r="CB82" s="894"/>
      <c r="CC82" s="894"/>
      <c r="CD82" s="894"/>
      <c r="CE82" s="894"/>
      <c r="CF82" s="894"/>
      <c r="CG82" s="894"/>
      <c r="CH82" s="894"/>
      <c r="CI82" s="894"/>
      <c r="CJ82" s="894"/>
      <c r="CK82" s="894"/>
      <c r="CL82" s="894"/>
      <c r="CM82" s="894"/>
      <c r="CN82" s="894"/>
      <c r="CO82" s="894"/>
      <c r="CP82" s="894"/>
      <c r="CQ82" s="894"/>
      <c r="CR82" s="894"/>
      <c r="CS82" s="894"/>
      <c r="CT82" s="894"/>
      <c r="CU82" s="894"/>
      <c r="CV82" s="894"/>
      <c r="CW82" s="894"/>
      <c r="CX82" s="894"/>
      <c r="CY82" s="894"/>
      <c r="CZ82" s="894"/>
      <c r="DA82" s="894"/>
      <c r="DB82" s="894"/>
      <c r="DC82" s="894"/>
      <c r="DD82" s="894"/>
      <c r="DE82" s="894"/>
      <c r="DF82" s="894"/>
      <c r="DG82" s="894"/>
      <c r="DH82" s="894"/>
      <c r="DI82" s="894"/>
      <c r="DJ82" s="894"/>
      <c r="DK82" s="894"/>
      <c r="DL82" s="894"/>
      <c r="DM82" s="894"/>
      <c r="DN82" s="894"/>
      <c r="DO82" s="894"/>
      <c r="DP82" s="894"/>
      <c r="DQ82" s="894"/>
      <c r="DR82" s="894"/>
      <c r="DS82" s="894"/>
      <c r="DT82" s="894"/>
      <c r="DU82" s="894"/>
      <c r="DV82" s="894"/>
      <c r="DW82" s="894"/>
      <c r="DX82" s="894"/>
      <c r="DY82" s="894"/>
      <c r="DZ82" s="894"/>
      <c r="EA82" s="894"/>
      <c r="EB82" s="894"/>
      <c r="EC82" s="894"/>
      <c r="ED82" s="894"/>
      <c r="EE82" s="894"/>
      <c r="EF82" s="894"/>
      <c r="EG82" s="894"/>
      <c r="EH82" s="894"/>
      <c r="EI82" s="894"/>
      <c r="EJ82" s="894"/>
      <c r="EK82" s="894"/>
      <c r="EL82" s="894"/>
      <c r="EM82" s="894"/>
      <c r="EN82" s="894"/>
      <c r="EO82" s="894"/>
      <c r="EP82" s="894"/>
      <c r="EQ82" s="894"/>
      <c r="ER82" s="894"/>
      <c r="ES82" s="894"/>
      <c r="ET82" s="894"/>
      <c r="EU82" s="894"/>
      <c r="EV82" s="894"/>
      <c r="EW82" s="894"/>
      <c r="EX82" s="894"/>
      <c r="EY82" s="894"/>
      <c r="EZ82" s="894"/>
      <c r="FA82" s="894"/>
      <c r="FB82" s="894"/>
      <c r="FC82" s="894"/>
      <c r="FD82" s="894"/>
      <c r="FE82" s="894"/>
      <c r="FF82" s="894"/>
      <c r="FG82" s="894"/>
      <c r="FH82" s="894"/>
      <c r="FI82" s="894"/>
    </row>
    <row r="83" spans="1:165" s="895" customFormat="1">
      <c r="A83" s="891"/>
      <c r="B83" s="889"/>
      <c r="C83" s="892"/>
      <c r="D83" s="892"/>
      <c r="E83" s="892"/>
      <c r="F83" s="892"/>
      <c r="G83" s="889"/>
      <c r="H83" s="889"/>
      <c r="I83" s="889"/>
      <c r="J83" s="889"/>
      <c r="K83" s="889"/>
      <c r="L83" s="889"/>
      <c r="M83" s="889"/>
      <c r="N83" s="889"/>
      <c r="O83" s="889"/>
      <c r="P83" s="889"/>
      <c r="Q83" s="889"/>
      <c r="R83" s="889"/>
      <c r="S83" s="889"/>
      <c r="T83" s="889"/>
      <c r="U83" s="889"/>
      <c r="V83" s="889"/>
      <c r="W83" s="889"/>
      <c r="X83" s="889"/>
      <c r="Y83" s="889"/>
      <c r="Z83" s="889"/>
      <c r="AA83" s="889"/>
      <c r="AB83" s="889"/>
      <c r="AC83" s="889"/>
      <c r="AD83" s="889"/>
      <c r="AE83" s="889"/>
      <c r="AF83" s="889"/>
      <c r="AG83" s="889"/>
      <c r="AH83" s="889"/>
      <c r="AI83" s="889"/>
      <c r="AJ83" s="889"/>
      <c r="AK83" s="889"/>
      <c r="AL83" s="889"/>
      <c r="AM83" s="889"/>
      <c r="AN83" s="889"/>
      <c r="AO83" s="889"/>
      <c r="AP83" s="889"/>
      <c r="AQ83" s="889"/>
      <c r="AR83" s="889"/>
      <c r="AS83" s="889"/>
      <c r="AT83" s="889"/>
      <c r="AU83" s="893"/>
      <c r="AV83" s="893"/>
      <c r="AW83" s="893"/>
      <c r="AX83" s="893"/>
      <c r="AY83" s="893"/>
      <c r="AZ83" s="893"/>
      <c r="BA83" s="893"/>
      <c r="BB83" s="894"/>
      <c r="BC83" s="894"/>
      <c r="BD83" s="894"/>
      <c r="BE83" s="894"/>
      <c r="BF83" s="894"/>
      <c r="BG83" s="894"/>
      <c r="BH83" s="894"/>
      <c r="BI83" s="894"/>
      <c r="BJ83" s="894"/>
      <c r="BK83" s="894"/>
      <c r="BL83" s="894"/>
      <c r="BM83" s="894"/>
      <c r="BN83" s="894"/>
      <c r="BO83" s="894"/>
      <c r="BP83" s="894"/>
      <c r="BQ83" s="894"/>
      <c r="BR83" s="894"/>
      <c r="BS83" s="894"/>
      <c r="BT83" s="894"/>
      <c r="BU83" s="894"/>
      <c r="BV83" s="894"/>
      <c r="BW83" s="894"/>
      <c r="BX83" s="894"/>
      <c r="BY83" s="894"/>
      <c r="BZ83" s="894"/>
      <c r="CA83" s="894"/>
      <c r="CB83" s="894"/>
      <c r="CC83" s="894"/>
      <c r="CD83" s="894"/>
      <c r="CE83" s="894"/>
      <c r="CF83" s="894"/>
      <c r="CG83" s="894"/>
      <c r="CH83" s="894"/>
      <c r="CI83" s="894"/>
      <c r="CJ83" s="894"/>
      <c r="CK83" s="894"/>
      <c r="CL83" s="894"/>
      <c r="CM83" s="894"/>
      <c r="CN83" s="894"/>
      <c r="CO83" s="894"/>
      <c r="CP83" s="894"/>
      <c r="CQ83" s="894"/>
      <c r="CR83" s="894"/>
      <c r="CS83" s="894"/>
      <c r="CT83" s="894"/>
      <c r="CU83" s="894"/>
      <c r="CV83" s="894"/>
      <c r="CW83" s="894"/>
      <c r="CX83" s="894"/>
      <c r="CY83" s="894"/>
      <c r="CZ83" s="894"/>
      <c r="DA83" s="894"/>
      <c r="DB83" s="894"/>
      <c r="DC83" s="894"/>
      <c r="DD83" s="894"/>
      <c r="DE83" s="894"/>
      <c r="DF83" s="894"/>
      <c r="DG83" s="894"/>
      <c r="DH83" s="894"/>
      <c r="DI83" s="894"/>
      <c r="DJ83" s="894"/>
      <c r="DK83" s="894"/>
      <c r="DL83" s="894"/>
      <c r="DM83" s="894"/>
      <c r="DN83" s="894"/>
      <c r="DO83" s="894"/>
      <c r="DP83" s="894"/>
      <c r="DQ83" s="894"/>
      <c r="DR83" s="894"/>
      <c r="DS83" s="894"/>
      <c r="DT83" s="894"/>
      <c r="DU83" s="894"/>
      <c r="DV83" s="894"/>
      <c r="DW83" s="894"/>
      <c r="DX83" s="894"/>
      <c r="DY83" s="894"/>
      <c r="DZ83" s="894"/>
      <c r="EA83" s="894"/>
      <c r="EB83" s="894"/>
      <c r="EC83" s="894"/>
      <c r="ED83" s="894"/>
      <c r="EE83" s="894"/>
      <c r="EF83" s="894"/>
      <c r="EG83" s="894"/>
      <c r="EH83" s="894"/>
      <c r="EI83" s="894"/>
      <c r="EJ83" s="894"/>
      <c r="EK83" s="894"/>
      <c r="EL83" s="894"/>
      <c r="EM83" s="894"/>
      <c r="EN83" s="894"/>
      <c r="EO83" s="894"/>
      <c r="EP83" s="894"/>
      <c r="EQ83" s="894"/>
      <c r="ER83" s="894"/>
      <c r="ES83" s="894"/>
      <c r="ET83" s="894"/>
      <c r="EU83" s="894"/>
      <c r="EV83" s="894"/>
      <c r="EW83" s="894"/>
      <c r="EX83" s="894"/>
      <c r="EY83" s="894"/>
      <c r="EZ83" s="894"/>
      <c r="FA83" s="894"/>
      <c r="FB83" s="894"/>
      <c r="FC83" s="894"/>
      <c r="FD83" s="894"/>
      <c r="FE83" s="894"/>
      <c r="FF83" s="894"/>
      <c r="FG83" s="894"/>
      <c r="FH83" s="894"/>
      <c r="FI83" s="894"/>
    </row>
    <row r="84" spans="1:165" s="895" customFormat="1">
      <c r="A84" s="891"/>
      <c r="B84" s="889"/>
      <c r="C84" s="892"/>
      <c r="D84" s="892"/>
      <c r="E84" s="892"/>
      <c r="F84" s="892"/>
      <c r="G84" s="889"/>
      <c r="H84" s="889"/>
      <c r="I84" s="889"/>
      <c r="J84" s="889"/>
      <c r="K84" s="889"/>
      <c r="L84" s="889"/>
      <c r="M84" s="889"/>
      <c r="N84" s="889"/>
      <c r="O84" s="889"/>
      <c r="P84" s="889"/>
      <c r="Q84" s="889"/>
      <c r="R84" s="889"/>
      <c r="S84" s="889"/>
      <c r="T84" s="889"/>
      <c r="U84" s="889"/>
      <c r="V84" s="889"/>
      <c r="W84" s="889"/>
      <c r="X84" s="889"/>
      <c r="Y84" s="889"/>
      <c r="Z84" s="889"/>
      <c r="AA84" s="889"/>
      <c r="AB84" s="889"/>
      <c r="AC84" s="889"/>
      <c r="AD84" s="889"/>
      <c r="AE84" s="889"/>
      <c r="AF84" s="889"/>
      <c r="AG84" s="889"/>
      <c r="AH84" s="889"/>
      <c r="AI84" s="889"/>
      <c r="AJ84" s="889"/>
      <c r="AK84" s="889"/>
      <c r="AL84" s="889"/>
      <c r="AM84" s="889"/>
      <c r="AN84" s="889"/>
      <c r="AO84" s="889"/>
      <c r="AP84" s="889"/>
      <c r="AQ84" s="889"/>
      <c r="AR84" s="889"/>
      <c r="AS84" s="889"/>
      <c r="AT84" s="889"/>
      <c r="AU84" s="893"/>
      <c r="AV84" s="893"/>
      <c r="AW84" s="893"/>
      <c r="AX84" s="893"/>
      <c r="AY84" s="893"/>
      <c r="AZ84" s="893"/>
      <c r="BA84" s="893"/>
      <c r="BB84" s="894"/>
      <c r="BC84" s="894"/>
      <c r="BD84" s="894"/>
      <c r="BE84" s="894"/>
      <c r="BF84" s="894"/>
      <c r="BG84" s="894"/>
      <c r="BH84" s="894"/>
      <c r="BI84" s="894"/>
      <c r="BJ84" s="894"/>
      <c r="BK84" s="894"/>
      <c r="BL84" s="894"/>
      <c r="BM84" s="894"/>
      <c r="BN84" s="894"/>
      <c r="BO84" s="894"/>
      <c r="BP84" s="894"/>
      <c r="BQ84" s="894"/>
      <c r="BR84" s="894"/>
      <c r="BS84" s="894"/>
      <c r="BT84" s="894"/>
      <c r="BU84" s="894"/>
      <c r="BV84" s="894"/>
      <c r="BW84" s="894"/>
      <c r="BX84" s="894"/>
      <c r="BY84" s="894"/>
      <c r="BZ84" s="894"/>
      <c r="CA84" s="894"/>
      <c r="CB84" s="894"/>
      <c r="CC84" s="894"/>
      <c r="CD84" s="894"/>
      <c r="CE84" s="894"/>
      <c r="CF84" s="894"/>
      <c r="CG84" s="894"/>
      <c r="CH84" s="894"/>
      <c r="CI84" s="894"/>
      <c r="CJ84" s="894"/>
      <c r="CK84" s="894"/>
      <c r="CL84" s="894"/>
      <c r="CM84" s="894"/>
      <c r="CN84" s="894"/>
      <c r="CO84" s="894"/>
      <c r="CP84" s="894"/>
      <c r="CQ84" s="894"/>
      <c r="CR84" s="894"/>
      <c r="CS84" s="894"/>
      <c r="CT84" s="894"/>
      <c r="CU84" s="894"/>
      <c r="CV84" s="894"/>
      <c r="CW84" s="894"/>
      <c r="CX84" s="894"/>
      <c r="CY84" s="894"/>
      <c r="CZ84" s="894"/>
      <c r="DA84" s="894"/>
      <c r="DB84" s="894"/>
      <c r="DC84" s="894"/>
      <c r="DD84" s="894"/>
      <c r="DE84" s="894"/>
      <c r="DF84" s="894"/>
      <c r="DG84" s="894"/>
      <c r="DH84" s="894"/>
      <c r="DI84" s="894"/>
      <c r="DJ84" s="894"/>
      <c r="DK84" s="894"/>
      <c r="DL84" s="894"/>
      <c r="DM84" s="894"/>
      <c r="DN84" s="894"/>
      <c r="DO84" s="894"/>
      <c r="DP84" s="894"/>
      <c r="DQ84" s="894"/>
      <c r="DR84" s="894"/>
      <c r="DS84" s="894"/>
      <c r="DT84" s="894"/>
      <c r="DU84" s="894"/>
      <c r="DV84" s="894"/>
      <c r="DW84" s="894"/>
      <c r="DX84" s="894"/>
      <c r="DY84" s="894"/>
      <c r="DZ84" s="894"/>
      <c r="EA84" s="894"/>
      <c r="EB84" s="894"/>
      <c r="EC84" s="894"/>
      <c r="ED84" s="894"/>
      <c r="EE84" s="894"/>
      <c r="EF84" s="894"/>
      <c r="EG84" s="894"/>
      <c r="EH84" s="894"/>
      <c r="EI84" s="894"/>
      <c r="EJ84" s="894"/>
      <c r="EK84" s="894"/>
      <c r="EL84" s="894"/>
      <c r="EM84" s="894"/>
      <c r="EN84" s="894"/>
      <c r="EO84" s="894"/>
      <c r="EP84" s="894"/>
      <c r="EQ84" s="894"/>
      <c r="ER84" s="894"/>
      <c r="ES84" s="894"/>
      <c r="ET84" s="894"/>
      <c r="EU84" s="894"/>
      <c r="EV84" s="894"/>
      <c r="EW84" s="894"/>
      <c r="EX84" s="894"/>
      <c r="EY84" s="894"/>
      <c r="EZ84" s="894"/>
      <c r="FA84" s="894"/>
      <c r="FB84" s="894"/>
      <c r="FC84" s="894"/>
      <c r="FD84" s="894"/>
      <c r="FE84" s="894"/>
      <c r="FF84" s="894"/>
      <c r="FG84" s="894"/>
      <c r="FH84" s="894"/>
      <c r="FI84" s="894"/>
    </row>
    <row r="85" spans="1:165" s="895" customFormat="1">
      <c r="A85" s="891"/>
      <c r="B85" s="889"/>
      <c r="C85" s="892"/>
      <c r="D85" s="892"/>
      <c r="E85" s="892"/>
      <c r="F85" s="892"/>
      <c r="G85" s="889"/>
      <c r="H85" s="889"/>
      <c r="I85" s="889"/>
      <c r="J85" s="889"/>
      <c r="K85" s="889"/>
      <c r="L85" s="889"/>
      <c r="M85" s="889"/>
      <c r="N85" s="889"/>
      <c r="O85" s="889"/>
      <c r="P85" s="889"/>
      <c r="Q85" s="889"/>
      <c r="R85" s="889"/>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93"/>
      <c r="AV85" s="893"/>
      <c r="AW85" s="893"/>
      <c r="AX85" s="893"/>
      <c r="AY85" s="893"/>
      <c r="AZ85" s="893"/>
      <c r="BA85" s="893"/>
      <c r="BB85" s="894"/>
      <c r="BC85" s="894"/>
      <c r="BD85" s="894"/>
      <c r="BE85" s="894"/>
      <c r="BF85" s="894"/>
      <c r="BG85" s="894"/>
      <c r="BH85" s="894"/>
      <c r="BI85" s="894"/>
      <c r="BJ85" s="894"/>
      <c r="BK85" s="894"/>
      <c r="BL85" s="894"/>
      <c r="BM85" s="894"/>
      <c r="BN85" s="894"/>
      <c r="BO85" s="894"/>
      <c r="BP85" s="894"/>
      <c r="BQ85" s="894"/>
      <c r="BR85" s="894"/>
      <c r="BS85" s="894"/>
      <c r="BT85" s="894"/>
      <c r="BU85" s="894"/>
      <c r="BV85" s="894"/>
      <c r="BW85" s="894"/>
      <c r="BX85" s="894"/>
      <c r="BY85" s="894"/>
      <c r="BZ85" s="894"/>
      <c r="CA85" s="894"/>
      <c r="CB85" s="894"/>
      <c r="CC85" s="894"/>
      <c r="CD85" s="894"/>
      <c r="CE85" s="894"/>
      <c r="CF85" s="894"/>
      <c r="CG85" s="894"/>
      <c r="CH85" s="894"/>
      <c r="CI85" s="894"/>
      <c r="CJ85" s="894"/>
      <c r="CK85" s="894"/>
      <c r="CL85" s="894"/>
      <c r="CM85" s="894"/>
      <c r="CN85" s="894"/>
      <c r="CO85" s="894"/>
      <c r="CP85" s="894"/>
      <c r="CQ85" s="894"/>
      <c r="CR85" s="894"/>
      <c r="CS85" s="894"/>
      <c r="CT85" s="894"/>
      <c r="CU85" s="894"/>
      <c r="CV85" s="894"/>
      <c r="CW85" s="894"/>
      <c r="CX85" s="894"/>
      <c r="CY85" s="894"/>
      <c r="CZ85" s="894"/>
      <c r="DA85" s="894"/>
      <c r="DB85" s="894"/>
      <c r="DC85" s="894"/>
      <c r="DD85" s="894"/>
      <c r="DE85" s="894"/>
      <c r="DF85" s="894"/>
      <c r="DG85" s="894"/>
      <c r="DH85" s="894"/>
      <c r="DI85" s="894"/>
      <c r="DJ85" s="894"/>
      <c r="DK85" s="894"/>
      <c r="DL85" s="894"/>
      <c r="DM85" s="894"/>
      <c r="DN85" s="894"/>
      <c r="DO85" s="894"/>
      <c r="DP85" s="894"/>
      <c r="DQ85" s="894"/>
      <c r="DR85" s="894"/>
      <c r="DS85" s="894"/>
      <c r="DT85" s="894"/>
      <c r="DU85" s="894"/>
      <c r="DV85" s="894"/>
      <c r="DW85" s="894"/>
      <c r="DX85" s="894"/>
      <c r="DY85" s="894"/>
      <c r="DZ85" s="894"/>
      <c r="EA85" s="894"/>
      <c r="EB85" s="894"/>
      <c r="EC85" s="894"/>
      <c r="ED85" s="894"/>
      <c r="EE85" s="894"/>
      <c r="EF85" s="894"/>
      <c r="EG85" s="894"/>
      <c r="EH85" s="894"/>
      <c r="EI85" s="894"/>
      <c r="EJ85" s="894"/>
      <c r="EK85" s="894"/>
      <c r="EL85" s="894"/>
      <c r="EM85" s="894"/>
      <c r="EN85" s="894"/>
      <c r="EO85" s="894"/>
      <c r="EP85" s="894"/>
      <c r="EQ85" s="894"/>
      <c r="ER85" s="894"/>
      <c r="ES85" s="894"/>
      <c r="ET85" s="894"/>
      <c r="EU85" s="894"/>
      <c r="EV85" s="894"/>
      <c r="EW85" s="894"/>
      <c r="EX85" s="894"/>
      <c r="EY85" s="894"/>
      <c r="EZ85" s="894"/>
      <c r="FA85" s="894"/>
      <c r="FB85" s="894"/>
      <c r="FC85" s="894"/>
      <c r="FD85" s="894"/>
      <c r="FE85" s="894"/>
      <c r="FF85" s="894"/>
      <c r="FG85" s="894"/>
      <c r="FH85" s="894"/>
      <c r="FI85" s="894"/>
    </row>
    <row r="86" spans="1:165" s="895" customFormat="1">
      <c r="A86" s="891"/>
      <c r="B86" s="889"/>
      <c r="C86" s="892"/>
      <c r="D86" s="892"/>
      <c r="E86" s="892"/>
      <c r="F86" s="892"/>
      <c r="G86" s="889"/>
      <c r="H86" s="889"/>
      <c r="I86" s="889"/>
      <c r="J86" s="889"/>
      <c r="K86" s="889"/>
      <c r="L86" s="889"/>
      <c r="M86" s="889"/>
      <c r="N86" s="889"/>
      <c r="O86" s="889"/>
      <c r="P86" s="889"/>
      <c r="Q86" s="889"/>
      <c r="R86" s="889"/>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93"/>
      <c r="AV86" s="893"/>
      <c r="AW86" s="893"/>
      <c r="AX86" s="893"/>
      <c r="AY86" s="893"/>
      <c r="AZ86" s="893"/>
      <c r="BA86" s="893"/>
      <c r="BB86" s="894"/>
      <c r="BC86" s="894"/>
      <c r="BD86" s="894"/>
      <c r="BE86" s="894"/>
      <c r="BF86" s="894"/>
      <c r="BG86" s="894"/>
      <c r="BH86" s="894"/>
      <c r="BI86" s="894"/>
      <c r="BJ86" s="894"/>
      <c r="BK86" s="894"/>
      <c r="BL86" s="894"/>
      <c r="BM86" s="894"/>
      <c r="BN86" s="894"/>
      <c r="BO86" s="894"/>
      <c r="BP86" s="894"/>
      <c r="BQ86" s="894"/>
      <c r="BR86" s="894"/>
      <c r="BS86" s="894"/>
      <c r="BT86" s="894"/>
      <c r="BU86" s="894"/>
      <c r="BV86" s="894"/>
      <c r="BW86" s="894"/>
      <c r="BX86" s="894"/>
      <c r="BY86" s="894"/>
      <c r="BZ86" s="894"/>
      <c r="CA86" s="894"/>
      <c r="CB86" s="894"/>
      <c r="CC86" s="894"/>
      <c r="CD86" s="894"/>
      <c r="CE86" s="894"/>
      <c r="CF86" s="894"/>
      <c r="CG86" s="894"/>
      <c r="CH86" s="894"/>
      <c r="CI86" s="894"/>
      <c r="CJ86" s="894"/>
      <c r="CK86" s="894"/>
      <c r="CL86" s="894"/>
      <c r="CM86" s="894"/>
      <c r="CN86" s="894"/>
      <c r="CO86" s="894"/>
      <c r="CP86" s="894"/>
      <c r="CQ86" s="894"/>
      <c r="CR86" s="894"/>
      <c r="CS86" s="894"/>
      <c r="CT86" s="894"/>
      <c r="CU86" s="894"/>
      <c r="CV86" s="894"/>
      <c r="CW86" s="894"/>
      <c r="CX86" s="894"/>
      <c r="CY86" s="894"/>
      <c r="CZ86" s="894"/>
      <c r="DA86" s="894"/>
      <c r="DB86" s="894"/>
      <c r="DC86" s="894"/>
      <c r="DD86" s="894"/>
      <c r="DE86" s="894"/>
      <c r="DF86" s="894"/>
      <c r="DG86" s="894"/>
      <c r="DH86" s="894"/>
      <c r="DI86" s="894"/>
      <c r="DJ86" s="894"/>
      <c r="DK86" s="894"/>
      <c r="DL86" s="894"/>
      <c r="DM86" s="894"/>
      <c r="DN86" s="894"/>
      <c r="DO86" s="894"/>
      <c r="DP86" s="894"/>
      <c r="DQ86" s="894"/>
      <c r="DR86" s="894"/>
      <c r="DS86" s="894"/>
      <c r="DT86" s="894"/>
      <c r="DU86" s="894"/>
      <c r="DV86" s="894"/>
      <c r="DW86" s="894"/>
      <c r="DX86" s="894"/>
      <c r="DY86" s="894"/>
      <c r="DZ86" s="894"/>
      <c r="EA86" s="894"/>
      <c r="EB86" s="894"/>
      <c r="EC86" s="894"/>
      <c r="ED86" s="894"/>
      <c r="EE86" s="894"/>
      <c r="EF86" s="894"/>
      <c r="EG86" s="894"/>
      <c r="EH86" s="894"/>
      <c r="EI86" s="894"/>
      <c r="EJ86" s="894"/>
      <c r="EK86" s="894"/>
      <c r="EL86" s="894"/>
      <c r="EM86" s="894"/>
      <c r="EN86" s="894"/>
      <c r="EO86" s="894"/>
      <c r="EP86" s="894"/>
      <c r="EQ86" s="894"/>
      <c r="ER86" s="894"/>
      <c r="ES86" s="894"/>
      <c r="ET86" s="894"/>
      <c r="EU86" s="894"/>
      <c r="EV86" s="894"/>
      <c r="EW86" s="894"/>
      <c r="EX86" s="894"/>
      <c r="EY86" s="894"/>
      <c r="EZ86" s="894"/>
      <c r="FA86" s="894"/>
      <c r="FB86" s="894"/>
      <c r="FC86" s="894"/>
      <c r="FD86" s="894"/>
      <c r="FE86" s="894"/>
      <c r="FF86" s="894"/>
      <c r="FG86" s="894"/>
      <c r="FH86" s="894"/>
      <c r="FI86" s="894"/>
    </row>
    <row r="87" spans="1:165" s="895" customFormat="1">
      <c r="A87" s="891"/>
      <c r="B87" s="889"/>
      <c r="C87" s="892"/>
      <c r="D87" s="892"/>
      <c r="E87" s="892"/>
      <c r="F87" s="892"/>
      <c r="G87" s="889"/>
      <c r="H87" s="889"/>
      <c r="I87" s="889"/>
      <c r="J87" s="889"/>
      <c r="K87" s="889"/>
      <c r="L87" s="889"/>
      <c r="M87" s="889"/>
      <c r="N87" s="889"/>
      <c r="O87" s="889"/>
      <c r="P87" s="889"/>
      <c r="Q87" s="889"/>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93"/>
      <c r="AV87" s="893"/>
      <c r="AW87" s="893"/>
      <c r="AX87" s="893"/>
      <c r="AY87" s="893"/>
      <c r="AZ87" s="893"/>
      <c r="BA87" s="893"/>
      <c r="BB87" s="894"/>
      <c r="BC87" s="894"/>
      <c r="BD87" s="894"/>
      <c r="BE87" s="894"/>
      <c r="BF87" s="894"/>
      <c r="BG87" s="894"/>
      <c r="BH87" s="894"/>
      <c r="BI87" s="894"/>
      <c r="BJ87" s="894"/>
      <c r="BK87" s="894"/>
      <c r="BL87" s="894"/>
      <c r="BM87" s="894"/>
      <c r="BN87" s="894"/>
      <c r="BO87" s="894"/>
      <c r="BP87" s="894"/>
      <c r="BQ87" s="894"/>
      <c r="BR87" s="894"/>
      <c r="BS87" s="894"/>
      <c r="BT87" s="894"/>
      <c r="BU87" s="894"/>
      <c r="BV87" s="894"/>
      <c r="BW87" s="894"/>
      <c r="BX87" s="894"/>
      <c r="BY87" s="894"/>
      <c r="BZ87" s="894"/>
      <c r="CA87" s="894"/>
      <c r="CB87" s="894"/>
      <c r="CC87" s="894"/>
      <c r="CD87" s="894"/>
      <c r="CE87" s="894"/>
      <c r="CF87" s="894"/>
      <c r="CG87" s="894"/>
      <c r="CH87" s="894"/>
      <c r="CI87" s="894"/>
      <c r="CJ87" s="894"/>
      <c r="CK87" s="894"/>
      <c r="CL87" s="894"/>
      <c r="CM87" s="894"/>
      <c r="CN87" s="894"/>
      <c r="CO87" s="894"/>
      <c r="CP87" s="894"/>
      <c r="CQ87" s="894"/>
      <c r="CR87" s="894"/>
      <c r="CS87" s="894"/>
      <c r="CT87" s="894"/>
      <c r="CU87" s="894"/>
      <c r="CV87" s="894"/>
      <c r="CW87" s="894"/>
      <c r="CX87" s="894"/>
      <c r="CY87" s="894"/>
      <c r="CZ87" s="894"/>
      <c r="DA87" s="894"/>
      <c r="DB87" s="894"/>
      <c r="DC87" s="894"/>
      <c r="DD87" s="894"/>
      <c r="DE87" s="894"/>
      <c r="DF87" s="894"/>
      <c r="DG87" s="894"/>
      <c r="DH87" s="894"/>
      <c r="DI87" s="894"/>
      <c r="DJ87" s="894"/>
      <c r="DK87" s="894"/>
      <c r="DL87" s="894"/>
      <c r="DM87" s="894"/>
      <c r="DN87" s="894"/>
      <c r="DO87" s="894"/>
      <c r="DP87" s="894"/>
      <c r="DQ87" s="894"/>
      <c r="DR87" s="894"/>
      <c r="DS87" s="894"/>
      <c r="DT87" s="894"/>
      <c r="DU87" s="894"/>
      <c r="DV87" s="894"/>
      <c r="DW87" s="894"/>
      <c r="DX87" s="894"/>
      <c r="DY87" s="894"/>
      <c r="DZ87" s="894"/>
      <c r="EA87" s="894"/>
      <c r="EB87" s="894"/>
      <c r="EC87" s="894"/>
      <c r="ED87" s="894"/>
      <c r="EE87" s="894"/>
      <c r="EF87" s="894"/>
      <c r="EG87" s="894"/>
      <c r="EH87" s="894"/>
      <c r="EI87" s="894"/>
      <c r="EJ87" s="894"/>
      <c r="EK87" s="894"/>
      <c r="EL87" s="894"/>
      <c r="EM87" s="894"/>
      <c r="EN87" s="894"/>
      <c r="EO87" s="894"/>
      <c r="EP87" s="894"/>
      <c r="EQ87" s="894"/>
      <c r="ER87" s="894"/>
      <c r="ES87" s="894"/>
      <c r="ET87" s="894"/>
      <c r="EU87" s="894"/>
      <c r="EV87" s="894"/>
      <c r="EW87" s="894"/>
      <c r="EX87" s="894"/>
      <c r="EY87" s="894"/>
      <c r="EZ87" s="894"/>
      <c r="FA87" s="894"/>
      <c r="FB87" s="894"/>
      <c r="FC87" s="894"/>
      <c r="FD87" s="894"/>
      <c r="FE87" s="894"/>
      <c r="FF87" s="894"/>
      <c r="FG87" s="894"/>
      <c r="FH87" s="894"/>
      <c r="FI87" s="894"/>
    </row>
    <row r="88" spans="1:165" s="895" customFormat="1">
      <c r="A88" s="891"/>
      <c r="B88" s="889"/>
      <c r="C88" s="892"/>
      <c r="D88" s="892"/>
      <c r="E88" s="892"/>
      <c r="F88" s="892"/>
      <c r="G88" s="889"/>
      <c r="H88" s="889"/>
      <c r="I88" s="889"/>
      <c r="J88" s="889"/>
      <c r="K88" s="889"/>
      <c r="L88" s="889"/>
      <c r="M88" s="889"/>
      <c r="N88" s="889"/>
      <c r="O88" s="889"/>
      <c r="P88" s="889"/>
      <c r="Q88" s="889"/>
      <c r="R88" s="889"/>
      <c r="S88" s="889"/>
      <c r="T88" s="889"/>
      <c r="U88" s="889"/>
      <c r="V88" s="889"/>
      <c r="W88" s="889"/>
      <c r="X88" s="889"/>
      <c r="Y88" s="889"/>
      <c r="Z88" s="889"/>
      <c r="AA88" s="889"/>
      <c r="AB88" s="889"/>
      <c r="AC88" s="889"/>
      <c r="AD88" s="889"/>
      <c r="AE88" s="889"/>
      <c r="AF88" s="889"/>
      <c r="AG88" s="889"/>
      <c r="AH88" s="889"/>
      <c r="AI88" s="889"/>
      <c r="AJ88" s="889"/>
      <c r="AK88" s="889"/>
      <c r="AL88" s="889"/>
      <c r="AM88" s="889"/>
      <c r="AN88" s="889"/>
      <c r="AO88" s="889"/>
      <c r="AP88" s="889"/>
      <c r="AQ88" s="889"/>
      <c r="AR88" s="889"/>
      <c r="AS88" s="889"/>
      <c r="AT88" s="889"/>
      <c r="AU88" s="893"/>
      <c r="AV88" s="893"/>
      <c r="AW88" s="893"/>
      <c r="AX88" s="893"/>
      <c r="AY88" s="893"/>
      <c r="AZ88" s="893"/>
      <c r="BA88" s="893"/>
      <c r="BB88" s="894"/>
      <c r="BC88" s="894"/>
      <c r="BD88" s="894"/>
      <c r="BE88" s="894"/>
      <c r="BF88" s="894"/>
      <c r="BG88" s="894"/>
      <c r="BH88" s="894"/>
      <c r="BI88" s="894"/>
      <c r="BJ88" s="894"/>
      <c r="BK88" s="894"/>
      <c r="BL88" s="894"/>
      <c r="BM88" s="894"/>
      <c r="BN88" s="894"/>
      <c r="BO88" s="894"/>
      <c r="BP88" s="894"/>
      <c r="BQ88" s="894"/>
      <c r="BR88" s="894"/>
      <c r="BS88" s="894"/>
      <c r="BT88" s="894"/>
      <c r="BU88" s="894"/>
      <c r="BV88" s="894"/>
      <c r="BW88" s="894"/>
      <c r="BX88" s="894"/>
      <c r="BY88" s="894"/>
      <c r="BZ88" s="894"/>
      <c r="CA88" s="894"/>
      <c r="CB88" s="894"/>
      <c r="CC88" s="894"/>
      <c r="CD88" s="894"/>
      <c r="CE88" s="894"/>
      <c r="CF88" s="894"/>
      <c r="CG88" s="894"/>
      <c r="CH88" s="894"/>
      <c r="CI88" s="894"/>
      <c r="CJ88" s="894"/>
      <c r="CK88" s="894"/>
      <c r="CL88" s="894"/>
      <c r="CM88" s="894"/>
      <c r="CN88" s="894"/>
      <c r="CO88" s="894"/>
      <c r="CP88" s="894"/>
      <c r="CQ88" s="894"/>
      <c r="CR88" s="894"/>
      <c r="CS88" s="894"/>
      <c r="CT88" s="894"/>
      <c r="CU88" s="894"/>
      <c r="CV88" s="894"/>
      <c r="CW88" s="894"/>
      <c r="CX88" s="894"/>
      <c r="CY88" s="894"/>
      <c r="CZ88" s="894"/>
      <c r="DA88" s="894"/>
      <c r="DB88" s="894"/>
      <c r="DC88" s="894"/>
      <c r="DD88" s="894"/>
      <c r="DE88" s="894"/>
      <c r="DF88" s="894"/>
      <c r="DG88" s="894"/>
      <c r="DH88" s="894"/>
      <c r="DI88" s="894"/>
      <c r="DJ88" s="894"/>
      <c r="DK88" s="894"/>
      <c r="DL88" s="894"/>
      <c r="DM88" s="894"/>
      <c r="DN88" s="894"/>
      <c r="DO88" s="894"/>
      <c r="DP88" s="894"/>
      <c r="DQ88" s="894"/>
      <c r="DR88" s="894"/>
      <c r="DS88" s="894"/>
      <c r="DT88" s="894"/>
      <c r="DU88" s="894"/>
      <c r="DV88" s="894"/>
      <c r="DW88" s="894"/>
      <c r="DX88" s="894"/>
      <c r="DY88" s="894"/>
      <c r="DZ88" s="894"/>
      <c r="EA88" s="894"/>
      <c r="EB88" s="894"/>
      <c r="EC88" s="894"/>
      <c r="ED88" s="894"/>
      <c r="EE88" s="894"/>
      <c r="EF88" s="894"/>
      <c r="EG88" s="894"/>
      <c r="EH88" s="894"/>
      <c r="EI88" s="894"/>
      <c r="EJ88" s="894"/>
      <c r="EK88" s="894"/>
      <c r="EL88" s="894"/>
      <c r="EM88" s="894"/>
      <c r="EN88" s="894"/>
      <c r="EO88" s="894"/>
      <c r="EP88" s="894"/>
      <c r="EQ88" s="894"/>
      <c r="ER88" s="894"/>
      <c r="ES88" s="894"/>
      <c r="ET88" s="894"/>
      <c r="EU88" s="894"/>
      <c r="EV88" s="894"/>
      <c r="EW88" s="894"/>
      <c r="EX88" s="894"/>
      <c r="EY88" s="894"/>
      <c r="EZ88" s="894"/>
      <c r="FA88" s="894"/>
      <c r="FB88" s="894"/>
      <c r="FC88" s="894"/>
      <c r="FD88" s="894"/>
      <c r="FE88" s="894"/>
      <c r="FF88" s="894"/>
      <c r="FG88" s="894"/>
      <c r="FH88" s="894"/>
      <c r="FI88" s="894"/>
    </row>
    <row r="89" spans="1:165" s="895" customFormat="1">
      <c r="A89" s="891"/>
      <c r="B89" s="889"/>
      <c r="C89" s="892"/>
      <c r="D89" s="892"/>
      <c r="E89" s="892"/>
      <c r="F89" s="892"/>
      <c r="G89" s="889"/>
      <c r="H89" s="889"/>
      <c r="I89" s="889"/>
      <c r="J89" s="889"/>
      <c r="K89" s="889"/>
      <c r="L89" s="889"/>
      <c r="M89" s="889"/>
      <c r="N89" s="889"/>
      <c r="O89" s="889"/>
      <c r="P89" s="889"/>
      <c r="Q89" s="889"/>
      <c r="R89" s="889"/>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93"/>
      <c r="AV89" s="893"/>
      <c r="AW89" s="893"/>
      <c r="AX89" s="893"/>
      <c r="AY89" s="893"/>
      <c r="AZ89" s="893"/>
      <c r="BA89" s="893"/>
      <c r="BB89" s="894"/>
      <c r="BC89" s="894"/>
      <c r="BD89" s="894"/>
      <c r="BE89" s="894"/>
      <c r="BF89" s="894"/>
      <c r="BG89" s="894"/>
      <c r="BH89" s="894"/>
      <c r="BI89" s="894"/>
      <c r="BJ89" s="894"/>
      <c r="BK89" s="894"/>
      <c r="BL89" s="894"/>
      <c r="BM89" s="894"/>
      <c r="BN89" s="894"/>
      <c r="BO89" s="894"/>
      <c r="BP89" s="894"/>
      <c r="BQ89" s="894"/>
      <c r="BR89" s="894"/>
      <c r="BS89" s="894"/>
      <c r="BT89" s="894"/>
      <c r="BU89" s="894"/>
      <c r="BV89" s="894"/>
      <c r="BW89" s="894"/>
      <c r="BX89" s="894"/>
      <c r="BY89" s="894"/>
      <c r="BZ89" s="894"/>
      <c r="CA89" s="894"/>
      <c r="CB89" s="894"/>
      <c r="CC89" s="894"/>
      <c r="CD89" s="894"/>
      <c r="CE89" s="894"/>
      <c r="CF89" s="894"/>
      <c r="CG89" s="894"/>
      <c r="CH89" s="894"/>
      <c r="CI89" s="894"/>
      <c r="CJ89" s="894"/>
      <c r="CK89" s="894"/>
      <c r="CL89" s="894"/>
      <c r="CM89" s="894"/>
      <c r="CN89" s="894"/>
      <c r="CO89" s="894"/>
      <c r="CP89" s="894"/>
      <c r="CQ89" s="894"/>
      <c r="CR89" s="894"/>
      <c r="CS89" s="894"/>
      <c r="CT89" s="894"/>
      <c r="CU89" s="894"/>
      <c r="CV89" s="894"/>
      <c r="CW89" s="894"/>
      <c r="CX89" s="894"/>
      <c r="CY89" s="894"/>
      <c r="CZ89" s="894"/>
      <c r="DA89" s="894"/>
      <c r="DB89" s="894"/>
      <c r="DC89" s="894"/>
      <c r="DD89" s="894"/>
      <c r="DE89" s="894"/>
      <c r="DF89" s="894"/>
      <c r="DG89" s="894"/>
      <c r="DH89" s="894"/>
      <c r="DI89" s="894"/>
      <c r="DJ89" s="894"/>
      <c r="DK89" s="894"/>
      <c r="DL89" s="894"/>
      <c r="DM89" s="894"/>
      <c r="DN89" s="894"/>
      <c r="DO89" s="894"/>
      <c r="DP89" s="894"/>
      <c r="DQ89" s="894"/>
      <c r="DR89" s="894"/>
      <c r="DS89" s="894"/>
      <c r="DT89" s="894"/>
      <c r="DU89" s="894"/>
      <c r="DV89" s="894"/>
      <c r="DW89" s="894"/>
      <c r="DX89" s="894"/>
      <c r="DY89" s="894"/>
      <c r="DZ89" s="894"/>
      <c r="EA89" s="894"/>
      <c r="EB89" s="894"/>
      <c r="EC89" s="894"/>
      <c r="ED89" s="894"/>
      <c r="EE89" s="894"/>
      <c r="EF89" s="894"/>
      <c r="EG89" s="894"/>
      <c r="EH89" s="894"/>
      <c r="EI89" s="894"/>
      <c r="EJ89" s="894"/>
      <c r="EK89" s="894"/>
      <c r="EL89" s="894"/>
      <c r="EM89" s="894"/>
      <c r="EN89" s="894"/>
      <c r="EO89" s="894"/>
      <c r="EP89" s="894"/>
      <c r="EQ89" s="894"/>
      <c r="ER89" s="894"/>
      <c r="ES89" s="894"/>
      <c r="ET89" s="894"/>
      <c r="EU89" s="894"/>
      <c r="EV89" s="894"/>
      <c r="EW89" s="894"/>
      <c r="EX89" s="894"/>
      <c r="EY89" s="894"/>
      <c r="EZ89" s="894"/>
      <c r="FA89" s="894"/>
      <c r="FB89" s="894"/>
      <c r="FC89" s="894"/>
      <c r="FD89" s="894"/>
      <c r="FE89" s="894"/>
      <c r="FF89" s="894"/>
      <c r="FG89" s="894"/>
      <c r="FH89" s="894"/>
      <c r="FI89" s="894"/>
    </row>
    <row r="90" spans="1:165" s="895" customFormat="1">
      <c r="A90" s="891"/>
      <c r="B90" s="889"/>
      <c r="C90" s="892"/>
      <c r="D90" s="892"/>
      <c r="E90" s="892"/>
      <c r="F90" s="892"/>
      <c r="G90" s="889"/>
      <c r="H90" s="889"/>
      <c r="I90" s="889"/>
      <c r="J90" s="889"/>
      <c r="K90" s="889"/>
      <c r="L90" s="889"/>
      <c r="M90" s="889"/>
      <c r="N90" s="889"/>
      <c r="O90" s="889"/>
      <c r="P90" s="889"/>
      <c r="Q90" s="889"/>
      <c r="R90" s="889"/>
      <c r="S90" s="889"/>
      <c r="T90" s="889"/>
      <c r="U90" s="889"/>
      <c r="V90" s="889"/>
      <c r="W90" s="889"/>
      <c r="X90" s="889"/>
      <c r="Y90" s="889"/>
      <c r="Z90" s="889"/>
      <c r="AA90" s="889"/>
      <c r="AB90" s="889"/>
      <c r="AC90" s="889"/>
      <c r="AD90" s="889"/>
      <c r="AE90" s="889"/>
      <c r="AF90" s="889"/>
      <c r="AG90" s="889"/>
      <c r="AH90" s="889"/>
      <c r="AI90" s="889"/>
      <c r="AJ90" s="889"/>
      <c r="AK90" s="889"/>
      <c r="AL90" s="889"/>
      <c r="AM90" s="889"/>
      <c r="AN90" s="889"/>
      <c r="AO90" s="889"/>
      <c r="AP90" s="889"/>
      <c r="AQ90" s="889"/>
      <c r="AR90" s="889"/>
      <c r="AS90" s="889"/>
      <c r="AT90" s="889"/>
      <c r="AU90" s="893"/>
      <c r="AV90" s="893"/>
      <c r="AW90" s="893"/>
      <c r="AX90" s="893"/>
      <c r="AY90" s="893"/>
      <c r="AZ90" s="893"/>
      <c r="BA90" s="893"/>
      <c r="BB90" s="894"/>
      <c r="BC90" s="894"/>
      <c r="BD90" s="894"/>
      <c r="BE90" s="894"/>
      <c r="BF90" s="894"/>
      <c r="BG90" s="894"/>
      <c r="BH90" s="894"/>
      <c r="BI90" s="894"/>
      <c r="BJ90" s="894"/>
      <c r="BK90" s="894"/>
      <c r="BL90" s="894"/>
      <c r="BM90" s="894"/>
      <c r="BN90" s="894"/>
      <c r="BO90" s="894"/>
      <c r="BP90" s="894"/>
      <c r="BQ90" s="894"/>
      <c r="BR90" s="894"/>
      <c r="BS90" s="894"/>
      <c r="BT90" s="894"/>
      <c r="BU90" s="894"/>
      <c r="BV90" s="894"/>
      <c r="BW90" s="894"/>
      <c r="BX90" s="894"/>
      <c r="BY90" s="894"/>
      <c r="BZ90" s="894"/>
      <c r="CA90" s="894"/>
      <c r="CB90" s="894"/>
      <c r="CC90" s="894"/>
      <c r="CD90" s="894"/>
      <c r="CE90" s="894"/>
      <c r="CF90" s="894"/>
      <c r="CG90" s="894"/>
      <c r="CH90" s="894"/>
      <c r="CI90" s="894"/>
      <c r="CJ90" s="894"/>
      <c r="CK90" s="894"/>
      <c r="CL90" s="894"/>
      <c r="CM90" s="894"/>
      <c r="CN90" s="894"/>
      <c r="CO90" s="894"/>
      <c r="CP90" s="894"/>
      <c r="CQ90" s="894"/>
      <c r="CR90" s="894"/>
      <c r="CS90" s="894"/>
      <c r="CT90" s="894"/>
      <c r="CU90" s="894"/>
      <c r="CV90" s="894"/>
      <c r="CW90" s="894"/>
      <c r="CX90" s="894"/>
      <c r="CY90" s="894"/>
      <c r="CZ90" s="894"/>
      <c r="DA90" s="894"/>
      <c r="DB90" s="894"/>
      <c r="DC90" s="894"/>
      <c r="DD90" s="894"/>
      <c r="DE90" s="894"/>
      <c r="DF90" s="894"/>
      <c r="DG90" s="894"/>
      <c r="DH90" s="894"/>
      <c r="DI90" s="894"/>
      <c r="DJ90" s="894"/>
      <c r="DK90" s="894"/>
      <c r="DL90" s="894"/>
      <c r="DM90" s="894"/>
      <c r="DN90" s="894"/>
      <c r="DO90" s="894"/>
      <c r="DP90" s="894"/>
      <c r="DQ90" s="894"/>
      <c r="DR90" s="894"/>
      <c r="DS90" s="894"/>
      <c r="DT90" s="894"/>
      <c r="DU90" s="894"/>
      <c r="DV90" s="894"/>
      <c r="DW90" s="894"/>
      <c r="DX90" s="894"/>
      <c r="DY90" s="894"/>
      <c r="DZ90" s="894"/>
      <c r="EA90" s="894"/>
      <c r="EB90" s="894"/>
      <c r="EC90" s="894"/>
      <c r="ED90" s="894"/>
      <c r="EE90" s="894"/>
      <c r="EF90" s="894"/>
      <c r="EG90" s="894"/>
      <c r="EH90" s="894"/>
      <c r="EI90" s="894"/>
      <c r="EJ90" s="894"/>
      <c r="EK90" s="894"/>
      <c r="EL90" s="894"/>
      <c r="EM90" s="894"/>
      <c r="EN90" s="894"/>
      <c r="EO90" s="894"/>
      <c r="EP90" s="894"/>
      <c r="EQ90" s="894"/>
      <c r="ER90" s="894"/>
      <c r="ES90" s="894"/>
      <c r="ET90" s="894"/>
      <c r="EU90" s="894"/>
      <c r="EV90" s="894"/>
      <c r="EW90" s="894"/>
      <c r="EX90" s="894"/>
      <c r="EY90" s="894"/>
      <c r="EZ90" s="894"/>
      <c r="FA90" s="894"/>
      <c r="FB90" s="894"/>
      <c r="FC90" s="894"/>
      <c r="FD90" s="894"/>
      <c r="FE90" s="894"/>
      <c r="FF90" s="894"/>
      <c r="FG90" s="894"/>
      <c r="FH90" s="894"/>
      <c r="FI90" s="894"/>
    </row>
    <row r="91" spans="1:165" s="895" customFormat="1">
      <c r="A91" s="891"/>
      <c r="B91" s="889"/>
      <c r="C91" s="892"/>
      <c r="D91" s="892"/>
      <c r="E91" s="892"/>
      <c r="F91" s="892"/>
      <c r="G91" s="889"/>
      <c r="H91" s="889"/>
      <c r="I91" s="889"/>
      <c r="J91" s="889"/>
      <c r="K91" s="889"/>
      <c r="L91" s="889"/>
      <c r="M91" s="889"/>
      <c r="N91" s="889"/>
      <c r="O91" s="889"/>
      <c r="P91" s="889"/>
      <c r="Q91" s="889"/>
      <c r="R91" s="889"/>
      <c r="S91" s="889"/>
      <c r="T91" s="889"/>
      <c r="U91" s="889"/>
      <c r="V91" s="889"/>
      <c r="W91" s="889"/>
      <c r="X91" s="889"/>
      <c r="Y91" s="889"/>
      <c r="Z91" s="889"/>
      <c r="AA91" s="889"/>
      <c r="AB91" s="889"/>
      <c r="AC91" s="889"/>
      <c r="AD91" s="889"/>
      <c r="AE91" s="889"/>
      <c r="AF91" s="889"/>
      <c r="AG91" s="889"/>
      <c r="AH91" s="889"/>
      <c r="AI91" s="889"/>
      <c r="AJ91" s="889"/>
      <c r="AK91" s="889"/>
      <c r="AL91" s="889"/>
      <c r="AM91" s="889"/>
      <c r="AN91" s="889"/>
      <c r="AO91" s="889"/>
      <c r="AP91" s="889"/>
      <c r="AQ91" s="889"/>
      <c r="AR91" s="889"/>
      <c r="AS91" s="889"/>
      <c r="AT91" s="889"/>
      <c r="AU91" s="893"/>
      <c r="AV91" s="893"/>
      <c r="AW91" s="893"/>
      <c r="AX91" s="893"/>
      <c r="AY91" s="893"/>
      <c r="AZ91" s="893"/>
      <c r="BA91" s="893"/>
      <c r="BB91" s="894"/>
      <c r="BC91" s="894"/>
      <c r="BD91" s="894"/>
      <c r="BE91" s="894"/>
      <c r="BF91" s="894"/>
      <c r="BG91" s="894"/>
      <c r="BH91" s="894"/>
      <c r="BI91" s="894"/>
      <c r="BJ91" s="894"/>
      <c r="BK91" s="894"/>
      <c r="BL91" s="894"/>
      <c r="BM91" s="894"/>
      <c r="BN91" s="894"/>
      <c r="BO91" s="894"/>
      <c r="BP91" s="894"/>
      <c r="BQ91" s="894"/>
      <c r="BR91" s="894"/>
      <c r="BS91" s="894"/>
      <c r="BT91" s="894"/>
      <c r="BU91" s="894"/>
      <c r="BV91" s="894"/>
      <c r="BW91" s="894"/>
      <c r="BX91" s="894"/>
      <c r="BY91" s="894"/>
      <c r="BZ91" s="894"/>
      <c r="CA91" s="894"/>
      <c r="CB91" s="894"/>
      <c r="CC91" s="894"/>
      <c r="CD91" s="894"/>
      <c r="CE91" s="894"/>
      <c r="CF91" s="894"/>
      <c r="CG91" s="894"/>
      <c r="CH91" s="894"/>
      <c r="CI91" s="894"/>
      <c r="CJ91" s="894"/>
      <c r="CK91" s="894"/>
      <c r="CL91" s="894"/>
      <c r="CM91" s="894"/>
      <c r="CN91" s="894"/>
      <c r="CO91" s="894"/>
      <c r="CP91" s="894"/>
      <c r="CQ91" s="894"/>
      <c r="CR91" s="894"/>
      <c r="CS91" s="894"/>
      <c r="CT91" s="894"/>
      <c r="CU91" s="894"/>
      <c r="CV91" s="894"/>
      <c r="CW91" s="894"/>
      <c r="CX91" s="894"/>
      <c r="CY91" s="894"/>
      <c r="CZ91" s="894"/>
      <c r="DA91" s="894"/>
      <c r="DB91" s="894"/>
      <c r="DC91" s="894"/>
      <c r="DD91" s="894"/>
      <c r="DE91" s="894"/>
      <c r="DF91" s="894"/>
      <c r="DG91" s="894"/>
      <c r="DH91" s="894"/>
      <c r="DI91" s="894"/>
      <c r="DJ91" s="894"/>
      <c r="DK91" s="894"/>
      <c r="DL91" s="894"/>
      <c r="DM91" s="894"/>
      <c r="DN91" s="894"/>
      <c r="DO91" s="894"/>
      <c r="DP91" s="894"/>
      <c r="DQ91" s="894"/>
      <c r="DR91" s="894"/>
      <c r="DS91" s="894"/>
      <c r="DT91" s="894"/>
      <c r="DU91" s="894"/>
      <c r="DV91" s="894"/>
      <c r="DW91" s="894"/>
      <c r="DX91" s="894"/>
      <c r="DY91" s="894"/>
      <c r="DZ91" s="894"/>
      <c r="EA91" s="894"/>
      <c r="EB91" s="894"/>
      <c r="EC91" s="894"/>
      <c r="ED91" s="894"/>
      <c r="EE91" s="894"/>
      <c r="EF91" s="894"/>
      <c r="EG91" s="894"/>
      <c r="EH91" s="894"/>
      <c r="EI91" s="894"/>
      <c r="EJ91" s="894"/>
      <c r="EK91" s="894"/>
      <c r="EL91" s="894"/>
      <c r="EM91" s="894"/>
      <c r="EN91" s="894"/>
      <c r="EO91" s="894"/>
      <c r="EP91" s="894"/>
      <c r="EQ91" s="894"/>
      <c r="ER91" s="894"/>
      <c r="ES91" s="894"/>
      <c r="ET91" s="894"/>
      <c r="EU91" s="894"/>
      <c r="EV91" s="894"/>
      <c r="EW91" s="894"/>
      <c r="EX91" s="894"/>
      <c r="EY91" s="894"/>
      <c r="EZ91" s="894"/>
      <c r="FA91" s="894"/>
      <c r="FB91" s="894"/>
      <c r="FC91" s="894"/>
      <c r="FD91" s="894"/>
      <c r="FE91" s="894"/>
      <c r="FF91" s="894"/>
      <c r="FG91" s="894"/>
      <c r="FH91" s="894"/>
      <c r="FI91" s="894"/>
    </row>
    <row r="92" spans="1:165" s="895" customFormat="1">
      <c r="A92" s="891"/>
      <c r="B92" s="889"/>
      <c r="C92" s="892"/>
      <c r="D92" s="892"/>
      <c r="E92" s="892"/>
      <c r="F92" s="892"/>
      <c r="G92" s="889"/>
      <c r="H92" s="889"/>
      <c r="I92" s="889"/>
      <c r="J92" s="889"/>
      <c r="K92" s="889"/>
      <c r="L92" s="889"/>
      <c r="M92" s="889"/>
      <c r="N92" s="889"/>
      <c r="O92" s="889"/>
      <c r="P92" s="889"/>
      <c r="Q92" s="889"/>
      <c r="R92" s="889"/>
      <c r="S92" s="889"/>
      <c r="T92" s="889"/>
      <c r="U92" s="889"/>
      <c r="V92" s="889"/>
      <c r="W92" s="889"/>
      <c r="X92" s="889"/>
      <c r="Y92" s="889"/>
      <c r="Z92" s="889"/>
      <c r="AA92" s="889"/>
      <c r="AB92" s="889"/>
      <c r="AC92" s="889"/>
      <c r="AD92" s="889"/>
      <c r="AE92" s="889"/>
      <c r="AF92" s="889"/>
      <c r="AG92" s="889"/>
      <c r="AH92" s="889"/>
      <c r="AI92" s="889"/>
      <c r="AJ92" s="889"/>
      <c r="AK92" s="889"/>
      <c r="AL92" s="889"/>
      <c r="AM92" s="889"/>
      <c r="AN92" s="889"/>
      <c r="AO92" s="889"/>
      <c r="AP92" s="889"/>
      <c r="AQ92" s="889"/>
      <c r="AR92" s="889"/>
      <c r="AS92" s="889"/>
      <c r="AT92" s="889"/>
      <c r="AU92" s="893"/>
      <c r="AV92" s="893"/>
      <c r="AW92" s="893"/>
      <c r="AX92" s="893"/>
      <c r="AY92" s="893"/>
      <c r="AZ92" s="893"/>
      <c r="BA92" s="893"/>
      <c r="BB92" s="894"/>
      <c r="BC92" s="894"/>
      <c r="BD92" s="894"/>
      <c r="BE92" s="894"/>
      <c r="BF92" s="894"/>
      <c r="BG92" s="894"/>
      <c r="BH92" s="894"/>
      <c r="BI92" s="894"/>
      <c r="BJ92" s="894"/>
      <c r="BK92" s="894"/>
      <c r="BL92" s="894"/>
      <c r="BM92" s="894"/>
      <c r="BN92" s="894"/>
      <c r="BO92" s="894"/>
      <c r="BP92" s="894"/>
      <c r="BQ92" s="894"/>
      <c r="BR92" s="894"/>
      <c r="BS92" s="894"/>
      <c r="BT92" s="894"/>
      <c r="BU92" s="894"/>
      <c r="BV92" s="894"/>
      <c r="BW92" s="894"/>
      <c r="BX92" s="894"/>
      <c r="BY92" s="894"/>
      <c r="BZ92" s="894"/>
      <c r="CA92" s="894"/>
      <c r="CB92" s="894"/>
      <c r="CC92" s="894"/>
      <c r="CD92" s="894"/>
      <c r="CE92" s="894"/>
      <c r="CF92" s="894"/>
      <c r="CG92" s="894"/>
      <c r="CH92" s="894"/>
      <c r="CI92" s="894"/>
      <c r="CJ92" s="894"/>
      <c r="CK92" s="894"/>
      <c r="CL92" s="894"/>
      <c r="CM92" s="894"/>
      <c r="CN92" s="894"/>
      <c r="CO92" s="894"/>
      <c r="CP92" s="894"/>
      <c r="CQ92" s="894"/>
      <c r="CR92" s="894"/>
      <c r="CS92" s="894"/>
      <c r="CT92" s="894"/>
      <c r="CU92" s="894"/>
      <c r="CV92" s="894"/>
      <c r="CW92" s="894"/>
      <c r="CX92" s="894"/>
      <c r="CY92" s="894"/>
      <c r="CZ92" s="894"/>
      <c r="DA92" s="894"/>
      <c r="DB92" s="894"/>
      <c r="DC92" s="894"/>
      <c r="DD92" s="894"/>
      <c r="DE92" s="894"/>
      <c r="DF92" s="894"/>
      <c r="DG92" s="894"/>
      <c r="DH92" s="894"/>
      <c r="DI92" s="894"/>
      <c r="DJ92" s="894"/>
      <c r="DK92" s="894"/>
      <c r="DL92" s="894"/>
      <c r="DM92" s="894"/>
      <c r="DN92" s="894"/>
      <c r="DO92" s="894"/>
      <c r="DP92" s="894"/>
      <c r="DQ92" s="894"/>
      <c r="DR92" s="894"/>
      <c r="DS92" s="894"/>
      <c r="DT92" s="894"/>
      <c r="DU92" s="894"/>
      <c r="DV92" s="894"/>
      <c r="DW92" s="894"/>
      <c r="DX92" s="894"/>
      <c r="DY92" s="894"/>
      <c r="DZ92" s="894"/>
      <c r="EA92" s="894"/>
      <c r="EB92" s="894"/>
      <c r="EC92" s="894"/>
      <c r="ED92" s="894"/>
      <c r="EE92" s="894"/>
      <c r="EF92" s="894"/>
      <c r="EG92" s="894"/>
      <c r="EH92" s="894"/>
      <c r="EI92" s="894"/>
      <c r="EJ92" s="894"/>
      <c r="EK92" s="894"/>
      <c r="EL92" s="894"/>
      <c r="EM92" s="894"/>
      <c r="EN92" s="894"/>
      <c r="EO92" s="894"/>
      <c r="EP92" s="894"/>
      <c r="EQ92" s="894"/>
      <c r="ER92" s="894"/>
      <c r="ES92" s="894"/>
      <c r="ET92" s="894"/>
      <c r="EU92" s="894"/>
      <c r="EV92" s="894"/>
      <c r="EW92" s="894"/>
      <c r="EX92" s="894"/>
      <c r="EY92" s="894"/>
      <c r="EZ92" s="894"/>
      <c r="FA92" s="894"/>
      <c r="FB92" s="894"/>
      <c r="FC92" s="894"/>
      <c r="FD92" s="894"/>
      <c r="FE92" s="894"/>
      <c r="FF92" s="894"/>
      <c r="FG92" s="894"/>
      <c r="FH92" s="894"/>
      <c r="FI92" s="894"/>
    </row>
    <row r="93" spans="1:165" s="895" customFormat="1">
      <c r="A93" s="891"/>
      <c r="B93" s="889"/>
      <c r="C93" s="892"/>
      <c r="D93" s="892"/>
      <c r="E93" s="892"/>
      <c r="F93" s="892"/>
      <c r="G93" s="889"/>
      <c r="H93" s="889"/>
      <c r="I93" s="889"/>
      <c r="J93" s="889"/>
      <c r="K93" s="889"/>
      <c r="L93" s="889"/>
      <c r="M93" s="889"/>
      <c r="N93" s="889"/>
      <c r="O93" s="889"/>
      <c r="P93" s="889"/>
      <c r="Q93" s="889"/>
      <c r="R93" s="889"/>
      <c r="S93" s="889"/>
      <c r="T93" s="889"/>
      <c r="U93" s="889"/>
      <c r="V93" s="889"/>
      <c r="W93" s="889"/>
      <c r="X93" s="889"/>
      <c r="Y93" s="889"/>
      <c r="Z93" s="889"/>
      <c r="AA93" s="889"/>
      <c r="AB93" s="889"/>
      <c r="AC93" s="889"/>
      <c r="AD93" s="889"/>
      <c r="AE93" s="889"/>
      <c r="AF93" s="889"/>
      <c r="AG93" s="889"/>
      <c r="AH93" s="889"/>
      <c r="AI93" s="889"/>
      <c r="AJ93" s="889"/>
      <c r="AK93" s="889"/>
      <c r="AL93" s="889"/>
      <c r="AM93" s="889"/>
      <c r="AN93" s="889"/>
      <c r="AO93" s="889"/>
      <c r="AP93" s="889"/>
      <c r="AQ93" s="889"/>
      <c r="AR93" s="889"/>
      <c r="AS93" s="889"/>
      <c r="AT93" s="889"/>
      <c r="AU93" s="893"/>
      <c r="AV93" s="893"/>
      <c r="AW93" s="893"/>
      <c r="AX93" s="893"/>
      <c r="AY93" s="893"/>
      <c r="AZ93" s="893"/>
      <c r="BA93" s="893"/>
      <c r="BB93" s="894"/>
      <c r="BC93" s="894"/>
      <c r="BD93" s="894"/>
      <c r="BE93" s="894"/>
      <c r="BF93" s="894"/>
      <c r="BG93" s="894"/>
      <c r="BH93" s="894"/>
      <c r="BI93" s="894"/>
      <c r="BJ93" s="894"/>
      <c r="BK93" s="894"/>
      <c r="BL93" s="894"/>
      <c r="BM93" s="894"/>
      <c r="BN93" s="894"/>
      <c r="BO93" s="894"/>
      <c r="BP93" s="894"/>
      <c r="BQ93" s="894"/>
      <c r="BR93" s="894"/>
      <c r="BS93" s="894"/>
      <c r="BT93" s="894"/>
      <c r="BU93" s="894"/>
      <c r="BV93" s="894"/>
      <c r="BW93" s="894"/>
      <c r="BX93" s="894"/>
      <c r="BY93" s="894"/>
      <c r="BZ93" s="894"/>
      <c r="CA93" s="894"/>
      <c r="CB93" s="894"/>
      <c r="CC93" s="894"/>
      <c r="CD93" s="894"/>
      <c r="CE93" s="894"/>
      <c r="CF93" s="894"/>
      <c r="CG93" s="894"/>
      <c r="CH93" s="894"/>
      <c r="CI93" s="894"/>
      <c r="CJ93" s="894"/>
      <c r="CK93" s="894"/>
      <c r="CL93" s="894"/>
      <c r="CM93" s="894"/>
      <c r="CN93" s="894"/>
      <c r="CO93" s="894"/>
      <c r="CP93" s="894"/>
      <c r="CQ93" s="894"/>
      <c r="CR93" s="894"/>
      <c r="CS93" s="894"/>
      <c r="CT93" s="894"/>
      <c r="CU93" s="894"/>
      <c r="CV93" s="894"/>
      <c r="CW93" s="894"/>
      <c r="CX93" s="894"/>
      <c r="CY93" s="894"/>
      <c r="CZ93" s="894"/>
      <c r="DA93" s="894"/>
      <c r="DB93" s="894"/>
      <c r="DC93" s="894"/>
      <c r="DD93" s="894"/>
      <c r="DE93" s="894"/>
      <c r="DF93" s="894"/>
      <c r="DG93" s="894"/>
      <c r="DH93" s="894"/>
      <c r="DI93" s="894"/>
      <c r="DJ93" s="894"/>
      <c r="DK93" s="894"/>
      <c r="DL93" s="894"/>
      <c r="DM93" s="894"/>
      <c r="DN93" s="894"/>
      <c r="DO93" s="894"/>
      <c r="DP93" s="894"/>
      <c r="DQ93" s="894"/>
      <c r="DR93" s="894"/>
      <c r="DS93" s="894"/>
      <c r="DT93" s="894"/>
      <c r="DU93" s="894"/>
      <c r="DV93" s="894"/>
      <c r="DW93" s="894"/>
      <c r="DX93" s="894"/>
      <c r="DY93" s="894"/>
      <c r="DZ93" s="894"/>
      <c r="EA93" s="894"/>
      <c r="EB93" s="894"/>
      <c r="EC93" s="894"/>
      <c r="ED93" s="894"/>
      <c r="EE93" s="894"/>
      <c r="EF93" s="894"/>
      <c r="EG93" s="894"/>
      <c r="EH93" s="894"/>
      <c r="EI93" s="894"/>
      <c r="EJ93" s="894"/>
      <c r="EK93" s="894"/>
      <c r="EL93" s="894"/>
      <c r="EM93" s="894"/>
      <c r="EN93" s="894"/>
      <c r="EO93" s="894"/>
      <c r="EP93" s="894"/>
      <c r="EQ93" s="894"/>
      <c r="ER93" s="894"/>
      <c r="ES93" s="894"/>
      <c r="ET93" s="894"/>
      <c r="EU93" s="894"/>
      <c r="EV93" s="894"/>
      <c r="EW93" s="894"/>
      <c r="EX93" s="894"/>
      <c r="EY93" s="894"/>
      <c r="EZ93" s="894"/>
      <c r="FA93" s="894"/>
      <c r="FB93" s="894"/>
      <c r="FC93" s="894"/>
      <c r="FD93" s="894"/>
      <c r="FE93" s="894"/>
      <c r="FF93" s="894"/>
      <c r="FG93" s="894"/>
      <c r="FH93" s="894"/>
      <c r="FI93" s="894"/>
    </row>
    <row r="94" spans="1:165" s="895" customFormat="1">
      <c r="A94" s="891"/>
      <c r="B94" s="889"/>
      <c r="C94" s="892"/>
      <c r="D94" s="892"/>
      <c r="E94" s="892"/>
      <c r="F94" s="892"/>
      <c r="G94" s="889"/>
      <c r="H94" s="889"/>
      <c r="I94" s="889"/>
      <c r="J94" s="889"/>
      <c r="K94" s="889"/>
      <c r="L94" s="889"/>
      <c r="M94" s="889"/>
      <c r="N94" s="889"/>
      <c r="O94" s="889"/>
      <c r="P94" s="889"/>
      <c r="Q94" s="889"/>
      <c r="R94" s="889"/>
      <c r="S94" s="889"/>
      <c r="T94" s="889"/>
      <c r="U94" s="889"/>
      <c r="V94" s="889"/>
      <c r="W94" s="889"/>
      <c r="X94" s="889"/>
      <c r="Y94" s="889"/>
      <c r="Z94" s="889"/>
      <c r="AA94" s="889"/>
      <c r="AB94" s="889"/>
      <c r="AC94" s="889"/>
      <c r="AD94" s="889"/>
      <c r="AE94" s="889"/>
      <c r="AF94" s="889"/>
      <c r="AG94" s="889"/>
      <c r="AH94" s="889"/>
      <c r="AI94" s="889"/>
      <c r="AJ94" s="889"/>
      <c r="AK94" s="889"/>
      <c r="AL94" s="889"/>
      <c r="AM94" s="889"/>
      <c r="AN94" s="889"/>
      <c r="AO94" s="889"/>
      <c r="AP94" s="889"/>
      <c r="AQ94" s="889"/>
      <c r="AR94" s="889"/>
      <c r="AS94" s="889"/>
      <c r="AT94" s="889"/>
      <c r="AU94" s="893"/>
      <c r="AV94" s="893"/>
      <c r="AW94" s="893"/>
      <c r="AX94" s="893"/>
      <c r="AY94" s="893"/>
      <c r="AZ94" s="893"/>
      <c r="BA94" s="893"/>
      <c r="BB94" s="894"/>
      <c r="BC94" s="894"/>
      <c r="BD94" s="894"/>
      <c r="BE94" s="894"/>
      <c r="BF94" s="894"/>
      <c r="BG94" s="894"/>
      <c r="BH94" s="894"/>
      <c r="BI94" s="894"/>
      <c r="BJ94" s="894"/>
      <c r="BK94" s="894"/>
      <c r="BL94" s="894"/>
      <c r="BM94" s="894"/>
      <c r="BN94" s="894"/>
      <c r="BO94" s="894"/>
      <c r="BP94" s="894"/>
      <c r="BQ94" s="894"/>
      <c r="BR94" s="894"/>
      <c r="BS94" s="894"/>
      <c r="BT94" s="894"/>
      <c r="BU94" s="894"/>
      <c r="BV94" s="894"/>
      <c r="BW94" s="894"/>
      <c r="BX94" s="894"/>
      <c r="BY94" s="894"/>
      <c r="BZ94" s="894"/>
      <c r="CA94" s="894"/>
      <c r="CB94" s="894"/>
      <c r="CC94" s="894"/>
      <c r="CD94" s="894"/>
      <c r="CE94" s="894"/>
      <c r="CF94" s="894"/>
      <c r="CG94" s="894"/>
      <c r="CH94" s="894"/>
      <c r="CI94" s="894"/>
      <c r="CJ94" s="894"/>
      <c r="CK94" s="894"/>
      <c r="CL94" s="894"/>
      <c r="CM94" s="894"/>
      <c r="CN94" s="894"/>
      <c r="CO94" s="894"/>
      <c r="CP94" s="894"/>
      <c r="CQ94" s="894"/>
      <c r="CR94" s="894"/>
      <c r="CS94" s="894"/>
      <c r="CT94" s="894"/>
      <c r="CU94" s="894"/>
      <c r="CV94" s="894"/>
      <c r="CW94" s="894"/>
      <c r="CX94" s="894"/>
      <c r="CY94" s="894"/>
      <c r="CZ94" s="894"/>
      <c r="DA94" s="894"/>
      <c r="DB94" s="894"/>
      <c r="DC94" s="894"/>
      <c r="DD94" s="894"/>
      <c r="DE94" s="894"/>
      <c r="DF94" s="894"/>
      <c r="DG94" s="894"/>
      <c r="DH94" s="894"/>
      <c r="DI94" s="894"/>
      <c r="DJ94" s="894"/>
      <c r="DK94" s="894"/>
      <c r="DL94" s="894"/>
      <c r="DM94" s="894"/>
      <c r="DN94" s="894"/>
      <c r="DO94" s="894"/>
      <c r="DP94" s="894"/>
      <c r="DQ94" s="894"/>
      <c r="DR94" s="894"/>
      <c r="DS94" s="894"/>
      <c r="DT94" s="894"/>
      <c r="DU94" s="894"/>
      <c r="DV94" s="894"/>
      <c r="DW94" s="894"/>
      <c r="DX94" s="894"/>
      <c r="DY94" s="894"/>
      <c r="DZ94" s="894"/>
      <c r="EA94" s="894"/>
      <c r="EB94" s="894"/>
      <c r="EC94" s="894"/>
      <c r="ED94" s="894"/>
      <c r="EE94" s="894"/>
      <c r="EF94" s="894"/>
      <c r="EG94" s="894"/>
      <c r="EH94" s="894"/>
      <c r="EI94" s="894"/>
      <c r="EJ94" s="894"/>
      <c r="EK94" s="894"/>
      <c r="EL94" s="894"/>
      <c r="EM94" s="894"/>
      <c r="EN94" s="894"/>
      <c r="EO94" s="894"/>
      <c r="EP94" s="894"/>
      <c r="EQ94" s="894"/>
      <c r="ER94" s="894"/>
      <c r="ES94" s="894"/>
      <c r="ET94" s="894"/>
      <c r="EU94" s="894"/>
      <c r="EV94" s="894"/>
      <c r="EW94" s="894"/>
      <c r="EX94" s="894"/>
      <c r="EY94" s="894"/>
      <c r="EZ94" s="894"/>
      <c r="FA94" s="894"/>
      <c r="FB94" s="894"/>
      <c r="FC94" s="894"/>
      <c r="FD94" s="894"/>
      <c r="FE94" s="894"/>
      <c r="FF94" s="894"/>
      <c r="FG94" s="894"/>
      <c r="FH94" s="894"/>
      <c r="FI94" s="894"/>
    </row>
    <row r="95" spans="1:165" s="895" customFormat="1">
      <c r="A95" s="891"/>
      <c r="B95" s="889"/>
      <c r="C95" s="892"/>
      <c r="D95" s="892"/>
      <c r="E95" s="892"/>
      <c r="F95" s="892"/>
      <c r="G95" s="889"/>
      <c r="H95" s="889"/>
      <c r="I95" s="889"/>
      <c r="J95" s="889"/>
      <c r="K95" s="889"/>
      <c r="L95" s="889"/>
      <c r="M95" s="889"/>
      <c r="N95" s="889"/>
      <c r="O95" s="889"/>
      <c r="P95" s="889"/>
      <c r="Q95" s="889"/>
      <c r="R95" s="889"/>
      <c r="S95" s="889"/>
      <c r="T95" s="889"/>
      <c r="U95" s="889"/>
      <c r="V95" s="889"/>
      <c r="W95" s="889"/>
      <c r="X95" s="889"/>
      <c r="Y95" s="889"/>
      <c r="Z95" s="889"/>
      <c r="AA95" s="889"/>
      <c r="AB95" s="889"/>
      <c r="AC95" s="889"/>
      <c r="AD95" s="889"/>
      <c r="AE95" s="889"/>
      <c r="AF95" s="889"/>
      <c r="AG95" s="889"/>
      <c r="AH95" s="889"/>
      <c r="AI95" s="889"/>
      <c r="AJ95" s="889"/>
      <c r="AK95" s="889"/>
      <c r="AL95" s="889"/>
      <c r="AM95" s="889"/>
      <c r="AN95" s="889"/>
      <c r="AO95" s="889"/>
      <c r="AP95" s="889"/>
      <c r="AQ95" s="889"/>
      <c r="AR95" s="889"/>
      <c r="AS95" s="889"/>
      <c r="AT95" s="889"/>
      <c r="AU95" s="893"/>
      <c r="AV95" s="893"/>
      <c r="AW95" s="893"/>
      <c r="AX95" s="893"/>
      <c r="AY95" s="893"/>
      <c r="AZ95" s="893"/>
      <c r="BA95" s="893"/>
      <c r="BB95" s="894"/>
      <c r="BC95" s="894"/>
      <c r="BD95" s="894"/>
      <c r="BE95" s="894"/>
      <c r="BF95" s="894"/>
      <c r="BG95" s="894"/>
      <c r="BH95" s="894"/>
      <c r="BI95" s="894"/>
      <c r="BJ95" s="894"/>
      <c r="BK95" s="894"/>
      <c r="BL95" s="894"/>
      <c r="BM95" s="894"/>
      <c r="BN95" s="894"/>
      <c r="BO95" s="894"/>
      <c r="BP95" s="894"/>
      <c r="BQ95" s="894"/>
      <c r="BR95" s="894"/>
      <c r="BS95" s="894"/>
      <c r="BT95" s="894"/>
      <c r="BU95" s="894"/>
      <c r="BV95" s="894"/>
      <c r="BW95" s="894"/>
      <c r="BX95" s="894"/>
      <c r="BY95" s="894"/>
      <c r="BZ95" s="894"/>
      <c r="CA95" s="894"/>
      <c r="CB95" s="894"/>
      <c r="CC95" s="894"/>
      <c r="CD95" s="894"/>
      <c r="CE95" s="894"/>
      <c r="CF95" s="894"/>
      <c r="CG95" s="894"/>
      <c r="CH95" s="894"/>
      <c r="CI95" s="894"/>
      <c r="CJ95" s="894"/>
      <c r="CK95" s="894"/>
      <c r="CL95" s="894"/>
      <c r="CM95" s="894"/>
      <c r="CN95" s="894"/>
      <c r="CO95" s="894"/>
      <c r="CP95" s="894"/>
      <c r="CQ95" s="894"/>
      <c r="CR95" s="894"/>
      <c r="CS95" s="894"/>
      <c r="CT95" s="894"/>
      <c r="CU95" s="894"/>
      <c r="CV95" s="894"/>
      <c r="CW95" s="894"/>
      <c r="CX95" s="894"/>
      <c r="CY95" s="894"/>
      <c r="CZ95" s="894"/>
      <c r="DA95" s="894"/>
      <c r="DB95" s="894"/>
      <c r="DC95" s="894"/>
      <c r="DD95" s="894"/>
      <c r="DE95" s="894"/>
      <c r="DF95" s="894"/>
      <c r="DG95" s="894"/>
      <c r="DH95" s="894"/>
      <c r="DI95" s="894"/>
      <c r="DJ95" s="894"/>
      <c r="DK95" s="894"/>
      <c r="DL95" s="894"/>
      <c r="DM95" s="894"/>
      <c r="DN95" s="894"/>
      <c r="DO95" s="894"/>
      <c r="DP95" s="894"/>
      <c r="DQ95" s="894"/>
      <c r="DR95" s="894"/>
      <c r="DS95" s="894"/>
      <c r="DT95" s="894"/>
      <c r="DU95" s="894"/>
      <c r="DV95" s="894"/>
      <c r="DW95" s="894"/>
      <c r="DX95" s="894"/>
      <c r="DY95" s="894"/>
      <c r="DZ95" s="894"/>
      <c r="EA95" s="894"/>
      <c r="EB95" s="894"/>
      <c r="EC95" s="894"/>
      <c r="ED95" s="894"/>
      <c r="EE95" s="894"/>
      <c r="EF95" s="894"/>
      <c r="EG95" s="894"/>
      <c r="EH95" s="894"/>
      <c r="EI95" s="894"/>
      <c r="EJ95" s="894"/>
      <c r="EK95" s="894"/>
      <c r="EL95" s="894"/>
      <c r="EM95" s="894"/>
      <c r="EN95" s="894"/>
      <c r="EO95" s="894"/>
      <c r="EP95" s="894"/>
      <c r="EQ95" s="894"/>
      <c r="ER95" s="894"/>
      <c r="ES95" s="894"/>
      <c r="ET95" s="894"/>
      <c r="EU95" s="894"/>
      <c r="EV95" s="894"/>
      <c r="EW95" s="894"/>
      <c r="EX95" s="894"/>
      <c r="EY95" s="894"/>
      <c r="EZ95" s="894"/>
      <c r="FA95" s="894"/>
      <c r="FB95" s="894"/>
      <c r="FC95" s="894"/>
      <c r="FD95" s="894"/>
      <c r="FE95" s="894"/>
      <c r="FF95" s="894"/>
      <c r="FG95" s="894"/>
      <c r="FH95" s="894"/>
      <c r="FI95" s="894"/>
    </row>
    <row r="96" spans="1:165">
      <c r="B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431"/>
      <c r="AV96" s="431"/>
      <c r="AW96" s="431"/>
      <c r="AX96" s="431"/>
      <c r="AY96" s="431"/>
      <c r="AZ96" s="431"/>
      <c r="BA96" s="431"/>
    </row>
    <row r="97" spans="2:53">
      <c r="B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431"/>
      <c r="AV97" s="431"/>
      <c r="AW97" s="431"/>
      <c r="AX97" s="431"/>
      <c r="AY97" s="431"/>
      <c r="AZ97" s="431"/>
      <c r="BA97" s="431"/>
    </row>
    <row r="98" spans="2:53">
      <c r="B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431"/>
      <c r="AV98" s="431"/>
      <c r="AW98" s="431"/>
      <c r="AX98" s="431"/>
      <c r="AY98" s="431"/>
      <c r="AZ98" s="431"/>
      <c r="BA98" s="431"/>
    </row>
    <row r="99" spans="2:53">
      <c r="B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431"/>
      <c r="AV99" s="431"/>
      <c r="AW99" s="431"/>
      <c r="AX99" s="431"/>
      <c r="AY99" s="431"/>
      <c r="AZ99" s="431"/>
      <c r="BA99" s="431"/>
    </row>
    <row r="100" spans="2:53">
      <c r="B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7"/>
      <c r="AQ100" s="297"/>
      <c r="AR100" s="297"/>
      <c r="AS100" s="297"/>
      <c r="AT100" s="297"/>
      <c r="AU100" s="431"/>
      <c r="AV100" s="431"/>
      <c r="AW100" s="431"/>
      <c r="AX100" s="431"/>
      <c r="AY100" s="431"/>
      <c r="AZ100" s="431"/>
      <c r="BA100" s="431"/>
    </row>
    <row r="101" spans="2:53">
      <c r="B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431"/>
      <c r="AV101" s="431"/>
      <c r="AW101" s="431"/>
      <c r="AX101" s="431"/>
      <c r="AY101" s="431"/>
      <c r="AZ101" s="431"/>
      <c r="BA101" s="431"/>
    </row>
    <row r="102" spans="2:53">
      <c r="B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431"/>
      <c r="AV102" s="431"/>
      <c r="AW102" s="431"/>
      <c r="AX102" s="431"/>
      <c r="AY102" s="431"/>
      <c r="AZ102" s="431"/>
      <c r="BA102" s="431"/>
    </row>
    <row r="103" spans="2:53">
      <c r="B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431"/>
      <c r="AV103" s="431"/>
      <c r="AW103" s="431"/>
      <c r="AX103" s="431"/>
      <c r="AY103" s="431"/>
      <c r="AZ103" s="431"/>
      <c r="BA103" s="431"/>
    </row>
    <row r="104" spans="2:53">
      <c r="B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431"/>
      <c r="AV104" s="431"/>
      <c r="AW104" s="431"/>
      <c r="AX104" s="431"/>
      <c r="AY104" s="431"/>
      <c r="AZ104" s="431"/>
      <c r="BA104" s="431"/>
    </row>
    <row r="105" spans="2:53">
      <c r="B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431"/>
      <c r="AV105" s="431"/>
      <c r="AW105" s="431"/>
      <c r="AX105" s="431"/>
      <c r="AY105" s="431"/>
      <c r="AZ105" s="431"/>
      <c r="BA105" s="431"/>
    </row>
    <row r="106" spans="2:53">
      <c r="B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431"/>
      <c r="AV106" s="431"/>
      <c r="AW106" s="431"/>
      <c r="AX106" s="431"/>
      <c r="AY106" s="431"/>
      <c r="AZ106" s="431"/>
      <c r="BA106" s="431"/>
    </row>
    <row r="107" spans="2:53">
      <c r="B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431"/>
      <c r="AV107" s="431"/>
      <c r="AW107" s="431"/>
      <c r="AX107" s="431"/>
      <c r="AY107" s="431"/>
      <c r="AZ107" s="431"/>
      <c r="BA107" s="431"/>
    </row>
    <row r="108" spans="2:53">
      <c r="B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431"/>
      <c r="AV108" s="431"/>
      <c r="AW108" s="431"/>
      <c r="AX108" s="431"/>
      <c r="AY108" s="431"/>
      <c r="AZ108" s="431"/>
      <c r="BA108" s="431"/>
    </row>
    <row r="109" spans="2:53">
      <c r="B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431"/>
      <c r="AV109" s="431"/>
      <c r="AW109" s="431"/>
      <c r="AX109" s="431"/>
      <c r="AY109" s="431"/>
      <c r="AZ109" s="431"/>
      <c r="BA109" s="431"/>
    </row>
    <row r="110" spans="2:53">
      <c r="B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431"/>
      <c r="AV110" s="431"/>
      <c r="AW110" s="431"/>
      <c r="AX110" s="431"/>
      <c r="AY110" s="431"/>
      <c r="AZ110" s="431"/>
      <c r="BA110" s="431"/>
    </row>
  </sheetData>
  <sheetProtection algorithmName="SHA-512" hashValue="XLBjHo0c+N1Nll40vNXBpGCeIDrjFdo8PMwsKcRQt/LtuaLWbbhu3BPkwwIK6xmrygfYa5q2YGDcM2Q7PUEBjw==" saltValue="xXLn663sqsk783dPSkBx4w==" spinCount="100000" sheet="1" objects="1" scenarios="1"/>
  <mergeCells count="1">
    <mergeCell ref="D1:F1"/>
  </mergeCells>
  <phoneticPr fontId="53" type="noConversion"/>
  <dataValidations xWindow="627" yWindow="358" count="5">
    <dataValidation allowBlank="1" showInputMessage="1" showErrorMessage="1" promptTitle="Income Escalation Rates" prompt="Escalation Rates are entered on the Setup worksheet, cells S12 - S14. Escalation is applied to income beginning Year 2." sqref="C3:C9" xr:uid="{00000000-0002-0000-0800-000000000000}"/>
    <dataValidation allowBlank="1" showInputMessage="1" showErrorMessage="1" promptTitle="Operating Costs Escalation Rates" prompt="Escalation Rates are set on the Operating Costs worksheet." sqref="D11:F11 C11:C66" xr:uid="{00000000-0002-0000-0800-000001000000}"/>
    <dataValidation allowBlank="1" showInputMessage="1" showErrorMessage="1" promptTitle="Historical Income" prompt="Enter historical income here. There are no defaulted values." sqref="D3:F5" xr:uid="{00000000-0002-0000-0800-000002000000}"/>
    <dataValidation allowBlank="1" showInputMessage="1" showErrorMessage="1" promptTitle="Historical Operations" prompt="Actual/ estimated historical operating costs are entered on the Op_Costs tab." sqref="D12:F68" xr:uid="{00000000-0002-0000-0800-000003000000}"/>
    <dataValidation type="whole" allowBlank="1" showInputMessage="1" showErrorMessage="1" errorTitle="Only Negative Numbers Allowed" error="Vacancy can only be entered as a negative number." promptTitle="Historical Income" prompt="Enter historical income here. There are no defaulted values." sqref="D7:F9" xr:uid="{00000000-0002-0000-0800-000004000000}">
      <formula1>-1000000</formula1>
      <formula2>0</formula2>
    </dataValidation>
  </dataValidations>
  <pageMargins left="0.48" right="0.41" top="1" bottom="1" header="0.5" footer="0.5"/>
  <pageSetup fitToWidth="4" orientation="portrait" horizontalDpi="1200" verticalDpi="1200" r:id="rId1"/>
  <headerFooter alignWithMargins="0">
    <oddHeader>&amp;C&amp;"Arial,Bold"&amp;12Operating Proforma</oddHeader>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414769186E4646A09EDB76AFBCEB79" ma:contentTypeVersion="8" ma:contentTypeDescription="Create a new document." ma:contentTypeScope="" ma:versionID="24f2a25474eafd88ff8fff2207332642">
  <xsd:schema xmlns:xsd="http://www.w3.org/2001/XMLSchema" xmlns:xs="http://www.w3.org/2001/XMLSchema" xmlns:p="http://schemas.microsoft.com/office/2006/metadata/properties" xmlns:ns2="3c72fac6-1b2e-4ae5-893b-69313516a48a" targetNamespace="http://schemas.microsoft.com/office/2006/metadata/properties" ma:root="true" ma:fieldsID="61f33989dfe21769607e19faf899d29d" ns2:_="">
    <xsd:import namespace="3c72fac6-1b2e-4ae5-893b-69313516a48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72fac6-1b2e-4ae5-893b-69313516a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7EF710-765A-4354-904C-5306897EDAFF}">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3c72fac6-1b2e-4ae5-893b-69313516a48a"/>
    <ds:schemaRef ds:uri="http://www.w3.org/XML/1998/namespace"/>
  </ds:schemaRefs>
</ds:datastoreItem>
</file>

<file path=customXml/itemProps2.xml><?xml version="1.0" encoding="utf-8"?>
<ds:datastoreItem xmlns:ds="http://schemas.openxmlformats.org/officeDocument/2006/customXml" ds:itemID="{E7F9162C-A5B6-4ACA-8156-6915AEDA6325}">
  <ds:schemaRefs>
    <ds:schemaRef ds:uri="http://schemas.microsoft.com/sharepoint/v3/contenttype/forms"/>
  </ds:schemaRefs>
</ds:datastoreItem>
</file>

<file path=customXml/itemProps3.xml><?xml version="1.0" encoding="utf-8"?>
<ds:datastoreItem xmlns:ds="http://schemas.openxmlformats.org/officeDocument/2006/customXml" ds:itemID="{A8DE5E86-771D-449D-AEAA-6432680556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2fac6-1b2e-4ae5-893b-69313516a4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46</vt:i4>
      </vt:variant>
    </vt:vector>
  </HeadingPairs>
  <TitlesOfParts>
    <vt:vector size="65" baseType="lpstr">
      <vt:lpstr>SLR Form</vt:lpstr>
      <vt:lpstr>SLR Analysis</vt:lpstr>
      <vt:lpstr>Setup</vt:lpstr>
      <vt:lpstr>DevCosts</vt:lpstr>
      <vt:lpstr>Units&amp;Income</vt:lpstr>
      <vt:lpstr>Op_Costs</vt:lpstr>
      <vt:lpstr>Sources</vt:lpstr>
      <vt:lpstr>OpProforma</vt:lpstr>
      <vt:lpstr>Lease_Up</vt:lpstr>
      <vt:lpstr>DOH_Eligible</vt:lpstr>
      <vt:lpstr>Refi</vt:lpstr>
      <vt:lpstr>LIHTCs&amp;BLDGs</vt:lpstr>
      <vt:lpstr>Deal_Overview</vt:lpstr>
      <vt:lpstr>Exhibits</vt:lpstr>
      <vt:lpstr>HOME_Proration</vt:lpstr>
      <vt:lpstr>HOME_Standard</vt:lpstr>
      <vt:lpstr>Max_Limits</vt:lpstr>
      <vt:lpstr>Lists</vt:lpstr>
      <vt:lpstr>TIF Lists</vt:lpstr>
      <vt:lpstr>AcqReasons</vt:lpstr>
      <vt:lpstr>AMILevels</vt:lpstr>
      <vt:lpstr>BldgType</vt:lpstr>
      <vt:lpstr>BuildingTypes</vt:lpstr>
      <vt:lpstr>CommAreas</vt:lpstr>
      <vt:lpstr>devfee</vt:lpstr>
      <vt:lpstr>DonationType</vt:lpstr>
      <vt:lpstr>FHLB</vt:lpstr>
      <vt:lpstr>GoodBad</vt:lpstr>
      <vt:lpstr>GovtLenders</vt:lpstr>
      <vt:lpstr>HistoricCreditReasons</vt:lpstr>
      <vt:lpstr>Issuers</vt:lpstr>
      <vt:lpstr>Lenders</vt:lpstr>
      <vt:lpstr>lien</vt:lpstr>
      <vt:lpstr>List22</vt:lpstr>
      <vt:lpstr>Loans</vt:lpstr>
      <vt:lpstr>Months</vt:lpstr>
      <vt:lpstr>OpAmounts</vt:lpstr>
      <vt:lpstr>OtherIncome</vt:lpstr>
      <vt:lpstr>Periods</vt:lpstr>
      <vt:lpstr>Deal_Overview!Print_Area</vt:lpstr>
      <vt:lpstr>DevCosts!Print_Area</vt:lpstr>
      <vt:lpstr>DOH_Eligible!Print_Area</vt:lpstr>
      <vt:lpstr>HOME_Proration!Print_Area</vt:lpstr>
      <vt:lpstr>HOME_Standard!Print_Area</vt:lpstr>
      <vt:lpstr>Lists!Print_Area</vt:lpstr>
      <vt:lpstr>OpProforma!Print_Area</vt:lpstr>
      <vt:lpstr>Refi!Print_Area</vt:lpstr>
      <vt:lpstr>'SLR Analysis'!Print_Area</vt:lpstr>
      <vt:lpstr>'SLR Form'!Print_Area</vt:lpstr>
      <vt:lpstr>Sources!Print_Area</vt:lpstr>
      <vt:lpstr>DOH_Eligible!Print_Titles</vt:lpstr>
      <vt:lpstr>OpProforma!Print_Titles</vt:lpstr>
      <vt:lpstr>PrivateLoans</vt:lpstr>
      <vt:lpstr>RateLock</vt:lpstr>
      <vt:lpstr>RehabTypes</vt:lpstr>
      <vt:lpstr>Stored1</vt:lpstr>
      <vt:lpstr>TaxExemptBonds</vt:lpstr>
      <vt:lpstr>Type</vt:lpstr>
      <vt:lpstr>TypeofProject</vt:lpstr>
      <vt:lpstr>UnitNumber</vt:lpstr>
      <vt:lpstr>Version</vt:lpstr>
      <vt:lpstr>Wards</vt:lpstr>
      <vt:lpstr>Year2</vt:lpstr>
      <vt:lpstr>Years</vt:lpstr>
      <vt:lpstr>YesNo</vt:lpstr>
    </vt:vector>
  </TitlesOfParts>
  <Manager/>
  <Company>Mercury Data, LLC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OConnell, James</dc:creator>
  <cp:keywords/>
  <dc:description/>
  <cp:lastModifiedBy>Ted Dygus</cp:lastModifiedBy>
  <cp:revision/>
  <dcterms:created xsi:type="dcterms:W3CDTF">2004-04-18T18:11:17Z</dcterms:created>
  <dcterms:modified xsi:type="dcterms:W3CDTF">2022-03-09T15:57:26Z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0x01010011414769186E4646A09EDB76AFBCEB79</vt:lpwstr>
  </property>
</Properties>
</file>